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rh.sharepoint.com/teams/RKEkonomiavdelning/Gammalt/RK ekonomiavdelning/Hälso- och sjukvårds controlling/Tandvård/Bokslut/Särredovisning/2021/NSV/"/>
    </mc:Choice>
  </mc:AlternateContent>
  <xr:revisionPtr revIDLastSave="509" documentId="11_F8803ACB52C9199B16CBDCDB7242CC1C5B7305E3" xr6:coauthVersionLast="47" xr6:coauthVersionMax="47" xr10:uidLastSave="{8D526967-2FC8-44F7-951B-51FF88D271FC}"/>
  <bookViews>
    <workbookView xWindow="23565" yWindow="660" windowWidth="25695" windowHeight="20160" activeTab="3" xr2:uid="{00000000-000D-0000-FFFF-FFFF00000000}"/>
  </bookViews>
  <sheets>
    <sheet name="Beskrivning av blanketter" sheetId="5" r:id="rId1"/>
    <sheet name="1. Specifikation av uppdraget" sheetId="4" r:id="rId2"/>
    <sheet name="2. Resultaträkning fördelad " sheetId="3" r:id="rId3"/>
    <sheet name="3a. Sammanställning bokslut" sheetId="2" r:id="rId4"/>
    <sheet name="3b. Sammanställning huvudman" sheetId="7" r:id="rId5"/>
  </sheets>
  <definedNames>
    <definedName name="_xlnm.Print_Area" localSheetId="1">'1. Specifikation av uppdraget'!$A$2:$F$37</definedName>
    <definedName name="_xlnm.Print_Titles" localSheetId="2">'2. Resultaträkning fördelad '!$D:$D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2" l="1"/>
  <c r="G42" i="2"/>
  <c r="G41" i="2"/>
  <c r="J29" i="2"/>
  <c r="K29" i="2" s="1"/>
  <c r="O43" i="2"/>
  <c r="D16" i="2"/>
  <c r="C18" i="2"/>
  <c r="AD47" i="3"/>
  <c r="X47" i="3"/>
  <c r="O47" i="3"/>
  <c r="I47" i="3"/>
  <c r="C47" i="3"/>
  <c r="AD49" i="3"/>
  <c r="X49" i="3"/>
  <c r="I50" i="3"/>
  <c r="C49" i="3"/>
  <c r="C50" i="3"/>
  <c r="X50" i="3"/>
  <c r="AD12" i="3"/>
  <c r="AC10" i="3"/>
  <c r="W10" i="3"/>
  <c r="X51" i="3"/>
  <c r="I52" i="3"/>
  <c r="I51" i="3"/>
  <c r="H10" i="3"/>
  <c r="I37" i="3"/>
  <c r="I43" i="3"/>
  <c r="N10" i="3"/>
  <c r="I31" i="3"/>
  <c r="K48" i="3"/>
  <c r="K10" i="3" s="1"/>
  <c r="AR10" i="3"/>
  <c r="AI17" i="3"/>
  <c r="AI10" i="3"/>
  <c r="AF17" i="3"/>
  <c r="AF10" i="3"/>
  <c r="AC17" i="3"/>
  <c r="W17" i="3"/>
  <c r="Q17" i="3"/>
  <c r="Q10" i="3"/>
  <c r="N17" i="3"/>
  <c r="K17" i="3"/>
  <c r="H17" i="3"/>
  <c r="C30" i="3"/>
  <c r="I30" i="3" s="1"/>
  <c r="AD32" i="3"/>
  <c r="O32" i="3"/>
  <c r="AD34" i="3"/>
  <c r="AD33" i="3"/>
  <c r="X34" i="3"/>
  <c r="X33" i="3"/>
  <c r="O34" i="3"/>
  <c r="O12" i="3" s="1"/>
  <c r="O33" i="3"/>
  <c r="I34" i="3"/>
  <c r="I33" i="3"/>
  <c r="N44" i="2"/>
  <c r="G43" i="2" s="1"/>
  <c r="M44" i="2"/>
  <c r="O42" i="2"/>
  <c r="AE10" i="3"/>
  <c r="AD17" i="3" l="1"/>
  <c r="O41" i="2" l="1"/>
  <c r="O40" i="2"/>
  <c r="O39" i="2"/>
  <c r="O38" i="2"/>
  <c r="O37" i="2"/>
  <c r="O36" i="2"/>
  <c r="O35" i="2"/>
  <c r="O34" i="2"/>
  <c r="O44" i="2" s="1"/>
  <c r="X44" i="3" l="1"/>
  <c r="X43" i="3"/>
  <c r="I44" i="3"/>
  <c r="X37" i="3"/>
  <c r="AB10" i="3"/>
  <c r="O17" i="3" l="1"/>
  <c r="F50" i="2" l="1"/>
  <c r="J27" i="2" l="1"/>
  <c r="K27" i="2" s="1"/>
  <c r="J28" i="2" l="1"/>
  <c r="K28" i="2" s="1"/>
  <c r="X41" i="3"/>
  <c r="X12" i="3" s="1"/>
  <c r="X31" i="3"/>
  <c r="M10" i="3"/>
  <c r="AX13" i="3" l="1"/>
  <c r="AZ17" i="3"/>
  <c r="AT17" i="3"/>
  <c r="AR13" i="3" l="1"/>
  <c r="X30" i="3" l="1"/>
  <c r="J26" i="2" l="1"/>
  <c r="L26" i="2" s="1"/>
  <c r="J25" i="2"/>
  <c r="L25" i="2" s="1"/>
  <c r="J24" i="2"/>
  <c r="L24" i="2" s="1"/>
  <c r="J23" i="2"/>
  <c r="L23" i="2" s="1"/>
  <c r="L22" i="2"/>
  <c r="E20" i="2" l="1"/>
  <c r="E13" i="2" l="1"/>
  <c r="I42" i="3" l="1"/>
  <c r="I41" i="3"/>
  <c r="I12" i="3" s="1"/>
  <c r="X42" i="3"/>
  <c r="I38" i="3"/>
  <c r="I17" i="3" s="1"/>
  <c r="X38" i="3"/>
  <c r="X17" i="3" s="1"/>
  <c r="I13" i="3" l="1"/>
  <c r="AA17" i="3"/>
  <c r="E30" i="7" l="1"/>
  <c r="E29" i="7"/>
  <c r="E28" i="7"/>
  <c r="E27" i="7"/>
  <c r="E26" i="7"/>
  <c r="E25" i="7"/>
  <c r="E24" i="7"/>
  <c r="E20" i="7"/>
  <c r="E19" i="7"/>
  <c r="E18" i="7"/>
  <c r="E17" i="7"/>
  <c r="E13" i="7"/>
  <c r="E12" i="7"/>
  <c r="E35" i="7" s="1"/>
  <c r="E11" i="7"/>
  <c r="E8" i="7"/>
  <c r="E32" i="7" s="1"/>
  <c r="E34" i="7" s="1"/>
  <c r="AK12" i="3"/>
  <c r="AK11" i="3"/>
  <c r="AK10" i="3"/>
  <c r="AK25" i="3"/>
  <c r="AK22" i="3"/>
  <c r="AK17" i="3"/>
  <c r="AJ13" i="3"/>
  <c r="AJ20" i="3" s="1"/>
  <c r="AJ24" i="3" s="1"/>
  <c r="AJ26" i="3" s="1"/>
  <c r="AI13" i="3"/>
  <c r="AI20" i="3" s="1"/>
  <c r="AI24" i="3" s="1"/>
  <c r="AI26" i="3" s="1"/>
  <c r="S25" i="3"/>
  <c r="S22" i="3"/>
  <c r="S17" i="3"/>
  <c r="R13" i="3"/>
  <c r="R20" i="3" s="1"/>
  <c r="R24" i="3" s="1"/>
  <c r="R26" i="3" s="1"/>
  <c r="Q13" i="3"/>
  <c r="Q20" i="3" s="1"/>
  <c r="Q24" i="3" s="1"/>
  <c r="Q26" i="3" s="1"/>
  <c r="S12" i="3"/>
  <c r="S11" i="3"/>
  <c r="S10" i="3"/>
  <c r="E12" i="2"/>
  <c r="E10" i="2"/>
  <c r="E11" i="2"/>
  <c r="E16" i="2"/>
  <c r="E17" i="2"/>
  <c r="E18" i="2"/>
  <c r="E19" i="2"/>
  <c r="E23" i="2"/>
  <c r="E24" i="2"/>
  <c r="E25" i="2"/>
  <c r="E26" i="2"/>
  <c r="E34" i="2"/>
  <c r="E35" i="2"/>
  <c r="E36" i="2"/>
  <c r="E37" i="2"/>
  <c r="BO10" i="3"/>
  <c r="BO12" i="3"/>
  <c r="BO17" i="3"/>
  <c r="BO22" i="3"/>
  <c r="BO25" i="3"/>
  <c r="BN13" i="3"/>
  <c r="BN20" i="3" s="1"/>
  <c r="BN24" i="3" s="1"/>
  <c r="BN26" i="3" s="1"/>
  <c r="BM13" i="3"/>
  <c r="BM20" i="3" s="1"/>
  <c r="BM24" i="3" s="1"/>
  <c r="BM26" i="3" s="1"/>
  <c r="BO11" i="3"/>
  <c r="BI10" i="3"/>
  <c r="BI12" i="3"/>
  <c r="BI17" i="3"/>
  <c r="BI22" i="3"/>
  <c r="BI25" i="3"/>
  <c r="BH13" i="3"/>
  <c r="BH20" i="3" s="1"/>
  <c r="BH24" i="3" s="1"/>
  <c r="BH26" i="3" s="1"/>
  <c r="BG13" i="3"/>
  <c r="BG20" i="3" s="1"/>
  <c r="BG24" i="3" s="1"/>
  <c r="BG26" i="3" s="1"/>
  <c r="BI11" i="3"/>
  <c r="BF10" i="3"/>
  <c r="BF12" i="3"/>
  <c r="BF17" i="3"/>
  <c r="BF22" i="3"/>
  <c r="BF25" i="3"/>
  <c r="BE13" i="3"/>
  <c r="BE20" i="3" s="1"/>
  <c r="BE24" i="3" s="1"/>
  <c r="BE26" i="3" s="1"/>
  <c r="BD13" i="3"/>
  <c r="BD20" i="3" s="1"/>
  <c r="BD24" i="3" s="1"/>
  <c r="BD26" i="3" s="1"/>
  <c r="BF11" i="3"/>
  <c r="BC10" i="3"/>
  <c r="BC12" i="3"/>
  <c r="BC17" i="3"/>
  <c r="BC22" i="3"/>
  <c r="BC25" i="3"/>
  <c r="BB13" i="3"/>
  <c r="BB20" i="3" s="1"/>
  <c r="BB24" i="3" s="1"/>
  <c r="BB26" i="3" s="1"/>
  <c r="BA13" i="3"/>
  <c r="BA20" i="3" s="1"/>
  <c r="BA24" i="3" s="1"/>
  <c r="BA26" i="3" s="1"/>
  <c r="BC11" i="3"/>
  <c r="AQ10" i="3"/>
  <c r="AT10" i="3"/>
  <c r="AW10" i="3"/>
  <c r="AZ10" i="3"/>
  <c r="J10" i="3"/>
  <c r="P10" i="3"/>
  <c r="Y10" i="3"/>
  <c r="AH10" i="3"/>
  <c r="AQ11" i="3"/>
  <c r="AT11" i="3"/>
  <c r="AW11" i="3"/>
  <c r="AZ11" i="3"/>
  <c r="AQ12" i="3"/>
  <c r="AT12" i="3"/>
  <c r="AW12" i="3"/>
  <c r="AZ12" i="3"/>
  <c r="J12" i="3"/>
  <c r="M12" i="3"/>
  <c r="M13" i="3" s="1"/>
  <c r="P12" i="3"/>
  <c r="Y12" i="3"/>
  <c r="AB12" i="3"/>
  <c r="AE12" i="3"/>
  <c r="AH12" i="3"/>
  <c r="BJ13" i="3"/>
  <c r="BJ20" i="3" s="1"/>
  <c r="BJ24" i="3" s="1"/>
  <c r="BJ26" i="3" s="1"/>
  <c r="AQ17" i="3"/>
  <c r="AW17" i="3"/>
  <c r="AQ22" i="3"/>
  <c r="AT22" i="3"/>
  <c r="AW22" i="3"/>
  <c r="AZ22" i="3"/>
  <c r="J22" i="3"/>
  <c r="M22" i="3"/>
  <c r="P22" i="3"/>
  <c r="Y22" i="3"/>
  <c r="AB22" i="3"/>
  <c r="AE22" i="3"/>
  <c r="AH22" i="3"/>
  <c r="AQ25" i="3"/>
  <c r="AT25" i="3"/>
  <c r="AW25" i="3"/>
  <c r="AZ25" i="3"/>
  <c r="J25" i="3"/>
  <c r="M25" i="3"/>
  <c r="P25" i="3"/>
  <c r="Y25" i="3"/>
  <c r="AB25" i="3"/>
  <c r="AE25" i="3"/>
  <c r="AH25" i="3"/>
  <c r="Y17" i="3"/>
  <c r="AB17" i="3"/>
  <c r="AE17" i="3"/>
  <c r="AH17" i="3"/>
  <c r="Y11" i="3"/>
  <c r="AB11" i="3"/>
  <c r="AE11" i="3"/>
  <c r="AH11" i="3"/>
  <c r="AG13" i="3"/>
  <c r="AG20" i="3" s="1"/>
  <c r="AG24" i="3" s="1"/>
  <c r="AG26" i="3" s="1"/>
  <c r="AF13" i="3"/>
  <c r="AF20" i="3" s="1"/>
  <c r="AF24" i="3" s="1"/>
  <c r="AF26" i="3" s="1"/>
  <c r="E28" i="2"/>
  <c r="E27" i="2"/>
  <c r="E29" i="2"/>
  <c r="P17" i="3"/>
  <c r="M17" i="3"/>
  <c r="J17" i="3"/>
  <c r="P11" i="3"/>
  <c r="M11" i="3"/>
  <c r="J11" i="3"/>
  <c r="H13" i="3"/>
  <c r="H20" i="3" s="1"/>
  <c r="AV13" i="3"/>
  <c r="AV20" i="3" s="1"/>
  <c r="AV24" i="3" s="1"/>
  <c r="AV26" i="3" s="1"/>
  <c r="AU13" i="3"/>
  <c r="AU20" i="3" s="1"/>
  <c r="AU24" i="3" s="1"/>
  <c r="AU26" i="3" s="1"/>
  <c r="AY13" i="3"/>
  <c r="AY20" i="3" s="1"/>
  <c r="AY24" i="3" s="1"/>
  <c r="AY26" i="3" s="1"/>
  <c r="AX20" i="3"/>
  <c r="AX24" i="3" s="1"/>
  <c r="AX26" i="3" s="1"/>
  <c r="AS13" i="3"/>
  <c r="AS20" i="3" s="1"/>
  <c r="AS24" i="3" s="1"/>
  <c r="AS26" i="3" s="1"/>
  <c r="AR20" i="3"/>
  <c r="AR24" i="3" s="1"/>
  <c r="AR26" i="3" s="1"/>
  <c r="AP13" i="3"/>
  <c r="AP20" i="3" s="1"/>
  <c r="AP24" i="3" s="1"/>
  <c r="AP26" i="3" s="1"/>
  <c r="AO13" i="3"/>
  <c r="AO20" i="3" s="1"/>
  <c r="AO24" i="3" s="1"/>
  <c r="AO26" i="3" s="1"/>
  <c r="AD13" i="3"/>
  <c r="AD20" i="3" s="1"/>
  <c r="AD24" i="3" s="1"/>
  <c r="AD26" i="3" s="1"/>
  <c r="AC13" i="3"/>
  <c r="AC20" i="3" s="1"/>
  <c r="AC24" i="3" s="1"/>
  <c r="AC26" i="3" s="1"/>
  <c r="AA13" i="3"/>
  <c r="AA20" i="3" s="1"/>
  <c r="AA24" i="3" s="1"/>
  <c r="AA26" i="3" s="1"/>
  <c r="Z13" i="3"/>
  <c r="Z20" i="3" s="1"/>
  <c r="Z24" i="3" s="1"/>
  <c r="Z26" i="3" s="1"/>
  <c r="X13" i="3"/>
  <c r="W13" i="3"/>
  <c r="O13" i="3"/>
  <c r="N13" i="3"/>
  <c r="L13" i="3"/>
  <c r="L20" i="3" s="1"/>
  <c r="L24" i="3" s="1"/>
  <c r="L26" i="3" s="1"/>
  <c r="K13" i="3"/>
  <c r="K20" i="3" s="1"/>
  <c r="K24" i="3" s="1"/>
  <c r="K26" i="3" s="1"/>
  <c r="I20" i="3"/>
  <c r="I24" i="3" s="1"/>
  <c r="I26" i="3" s="1"/>
  <c r="G13" i="3"/>
  <c r="E42" i="2" l="1"/>
  <c r="E43" i="2"/>
  <c r="E36" i="7"/>
  <c r="E38" i="2"/>
  <c r="H24" i="3"/>
  <c r="H26" i="3" s="1"/>
  <c r="W20" i="3"/>
  <c r="W24" i="3" s="1"/>
  <c r="W26" i="3" s="1"/>
  <c r="O20" i="3"/>
  <c r="O24" i="3" s="1"/>
  <c r="O26" i="3" s="1"/>
  <c r="N20" i="3"/>
  <c r="N24" i="3" s="1"/>
  <c r="N26" i="3" s="1"/>
  <c r="AM17" i="3"/>
  <c r="X20" i="3"/>
  <c r="X24" i="3" s="1"/>
  <c r="X26" i="3" s="1"/>
  <c r="AW13" i="3"/>
  <c r="AW20" i="3" s="1"/>
  <c r="AW24" i="3" s="1"/>
  <c r="AW26" i="3" s="1"/>
  <c r="AH13" i="3"/>
  <c r="AH20" i="3" s="1"/>
  <c r="AH24" i="3" s="1"/>
  <c r="AH26" i="3" s="1"/>
  <c r="BC13" i="3"/>
  <c r="BC20" i="3" s="1"/>
  <c r="BC24" i="3" s="1"/>
  <c r="BC26" i="3" s="1"/>
  <c r="AM10" i="3"/>
  <c r="AT13" i="3"/>
  <c r="AT20" i="3" s="1"/>
  <c r="AT24" i="3" s="1"/>
  <c r="AT26" i="3" s="1"/>
  <c r="BI13" i="3"/>
  <c r="BI20" i="3" s="1"/>
  <c r="BI24" i="3" s="1"/>
  <c r="BI26" i="3" s="1"/>
  <c r="BK10" i="3"/>
  <c r="AZ13" i="3"/>
  <c r="AZ20" i="3" s="1"/>
  <c r="AZ24" i="3" s="1"/>
  <c r="AZ26" i="3" s="1"/>
  <c r="P13" i="3"/>
  <c r="P20" i="3" s="1"/>
  <c r="P24" i="3" s="1"/>
  <c r="P26" i="3" s="1"/>
  <c r="AE13" i="3"/>
  <c r="AE20" i="3" s="1"/>
  <c r="AE24" i="3" s="1"/>
  <c r="AE26" i="3" s="1"/>
  <c r="AK13" i="3"/>
  <c r="AK20" i="3" s="1"/>
  <c r="AK24" i="3" s="1"/>
  <c r="AK26" i="3" s="1"/>
  <c r="U17" i="3"/>
  <c r="U25" i="3"/>
  <c r="BK12" i="3"/>
  <c r="BK11" i="3"/>
  <c r="M20" i="3"/>
  <c r="M24" i="3" s="1"/>
  <c r="M26" i="3" s="1"/>
  <c r="U11" i="3"/>
  <c r="AM11" i="3"/>
  <c r="AM22" i="3"/>
  <c r="BK22" i="3"/>
  <c r="Y13" i="3"/>
  <c r="Y20" i="3" s="1"/>
  <c r="Y24" i="3" s="1"/>
  <c r="Y26" i="3" s="1"/>
  <c r="BF13" i="3"/>
  <c r="BF20" i="3" s="1"/>
  <c r="BF24" i="3" s="1"/>
  <c r="BF26" i="3" s="1"/>
  <c r="BK17" i="3"/>
  <c r="AM25" i="3"/>
  <c r="BO13" i="3"/>
  <c r="BO20" i="3" s="1"/>
  <c r="BO24" i="3" s="1"/>
  <c r="BO26" i="3" s="1"/>
  <c r="S13" i="3"/>
  <c r="S20" i="3" s="1"/>
  <c r="S24" i="3" s="1"/>
  <c r="S26" i="3" s="1"/>
  <c r="AB13" i="3"/>
  <c r="AB20" i="3" s="1"/>
  <c r="AB24" i="3" s="1"/>
  <c r="AB26" i="3" s="1"/>
  <c r="J13" i="3"/>
  <c r="J20" i="3" s="1"/>
  <c r="J24" i="3" s="1"/>
  <c r="J26" i="3" s="1"/>
  <c r="U10" i="3"/>
  <c r="AM12" i="3"/>
  <c r="BK25" i="3"/>
  <c r="U22" i="3"/>
  <c r="U12" i="3"/>
  <c r="F12" i="3" s="1"/>
  <c r="AQ13" i="3"/>
  <c r="AQ20" i="3" s="1"/>
  <c r="AQ24" i="3" s="1"/>
  <c r="AQ26" i="3" s="1"/>
  <c r="E31" i="2"/>
  <c r="E41" i="2" l="1"/>
  <c r="F10" i="3"/>
  <c r="BQ10" i="3"/>
  <c r="F13" i="3"/>
  <c r="F17" i="3"/>
  <c r="BQ17" i="3" s="1"/>
  <c r="BK13" i="3"/>
  <c r="BK20" i="3" s="1"/>
  <c r="BK24" i="3" s="1"/>
  <c r="BK26" i="3" s="1"/>
  <c r="F11" i="3"/>
  <c r="BQ11" i="3" s="1"/>
  <c r="BQ25" i="3"/>
  <c r="BQ22" i="3"/>
  <c r="AM13" i="3"/>
  <c r="AM20" i="3" s="1"/>
  <c r="AM24" i="3" s="1"/>
  <c r="AM26" i="3" s="1"/>
  <c r="U13" i="3"/>
  <c r="U20" i="3" s="1"/>
  <c r="U24" i="3" s="1"/>
  <c r="U26" i="3" s="1"/>
  <c r="BQ12" i="3" l="1"/>
  <c r="BQ13" i="3" s="1"/>
  <c r="BQ20" i="3" s="1"/>
  <c r="BQ24" i="3" s="1"/>
  <c r="BQ26" i="3" s="1"/>
  <c r="F20" i="3" l="1"/>
  <c r="F24" i="3" s="1"/>
  <c r="F2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Heed Robert</author>
    <author>Ringström Alexandra NSVH STAB</author>
  </authors>
  <commentList>
    <comment ref="A1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* Om beslutad ålder i respektive landsting/region skiljer sig från angiven ålder i mallen, ska mallen anpassas till beslutad ålder. </t>
        </r>
      </text>
    </comment>
    <comment ref="C14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Ringström Alexandra NSVH STAB:</t>
        </r>
        <r>
          <rPr>
            <sz val="9"/>
            <color indexed="81"/>
            <rFont val="Tahoma"/>
            <family val="2"/>
          </rPr>
          <t xml:space="preserve">
Budget barnpeng TR 2021 + Löneökning i revision, ersättning i tilläggsbudget</t>
        </r>
      </text>
    </comment>
    <comment ref="A15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* Om beslutad ålder i respektive landsting/region skiljer sig från angiven ålder i mallen, ska mallen anpassas till beslutad ålder. 
</t>
        </r>
      </text>
    </comment>
    <comment ref="A23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* Om beslutad ålder i respektive landsting/region skiljer sig från angiven ålder i mallen, ska mallen anpassas till beslutad ålder.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Widmark Hanna NSVH STAB</author>
  </authors>
  <commentList>
    <comment ref="H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Widmark Hanna NSVH STAB:</t>
        </r>
        <r>
          <rPr>
            <sz val="9"/>
            <color indexed="81"/>
            <rFont val="Tahoma"/>
            <family val="2"/>
          </rPr>
          <t xml:space="preserve">
Ersättning barntandvård
</t>
        </r>
      </text>
    </comment>
    <comment ref="K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Widmark Hanna NSVH STAB:</t>
        </r>
        <r>
          <rPr>
            <sz val="9"/>
            <color indexed="81"/>
            <rFont val="Tahoma"/>
            <family val="2"/>
          </rPr>
          <t xml:space="preserve">
Områdesansvar barn</t>
        </r>
      </text>
    </comment>
    <comment ref="C3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Widmark Hanna NSVH STAB:</t>
        </r>
        <r>
          <rPr>
            <sz val="9"/>
            <color indexed="81"/>
            <rFont val="Tahoma"/>
            <family val="2"/>
          </rPr>
          <t xml:space="preserve">
Lönekostnad för nyleg är bortdragen härifrån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Heed Robert</author>
    <author>451n</author>
  </authors>
  <commentList>
    <comment ref="A10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* Om beslutad ålder i respektive landsting/region skiljer sig från angiven ålder i mallen, ska mallen anpassas till beslutad ålder. </t>
        </r>
      </text>
    </comment>
    <comment ref="A11" authorId="1" shapeId="0" xr:uid="{00000000-0006-0000-0300-000002000000}">
      <text>
        <r>
          <rPr>
            <b/>
            <sz val="8"/>
            <color indexed="81"/>
            <rFont val="Tahoma"/>
            <family val="2"/>
          </rPr>
          <t>451n:</t>
        </r>
        <r>
          <rPr>
            <sz val="8"/>
            <color indexed="81"/>
            <rFont val="Tahoma"/>
            <family val="2"/>
          </rPr>
          <t xml:space="preserve">
Samma möjlighet till vård och utjämna skillnader i tandhälsa</t>
        </r>
      </text>
    </comment>
    <comment ref="A13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* Om beslutad ålder i respektive landsting/region skiljer sig från angiven ålder i mallen, ska mallen anpassas till beslutad ålder. </t>
        </r>
      </text>
    </comment>
    <comment ref="A20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* Om beslutad ålder i respektive landsting/region skiljer sig från angiven ålder i mallen, ska mallen anpassas till beslutad ålder.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Heed Robert</author>
    <author>451n</author>
  </authors>
  <commentList>
    <comment ref="A1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* Om beslutad ålder i respektive landsting/region skiljer sig från angiven ålder i mallen, ska mallen anpassas till beslutad ålder. </t>
        </r>
      </text>
    </comment>
    <comment ref="A12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451n:</t>
        </r>
        <r>
          <rPr>
            <sz val="8"/>
            <color indexed="81"/>
            <rFont val="Tahoma"/>
            <family val="2"/>
          </rPr>
          <t xml:space="preserve">
Samma möjlighet till vård och utjämna skillnader i tandhälsa</t>
        </r>
      </text>
    </comment>
    <comment ref="A14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* Om beslutad ålder i respektive landsting/region skiljer sig från angiven ålder i mallen, ska mallen anpassas till beslutad ålder. </t>
        </r>
      </text>
    </comment>
    <comment ref="A21" authorId="0" shapeId="0" xr:uid="{00000000-0006-0000-0400-000004000000}">
      <text>
        <r>
          <rPr>
            <sz val="9"/>
            <color indexed="81"/>
            <rFont val="Tahoma"/>
            <family val="2"/>
          </rPr>
          <t xml:space="preserve">* Om beslutad ålder i respektive landsting/region skiljer sig från angiven ålder i mallen, ska mallen anpassas till beslutad ålder. </t>
        </r>
      </text>
    </comment>
  </commentList>
</comments>
</file>

<file path=xl/sharedStrings.xml><?xml version="1.0" encoding="utf-8"?>
<sst xmlns="http://schemas.openxmlformats.org/spreadsheetml/2006/main" count="364" uniqueCount="182">
  <si>
    <t>Blankett: Specifikation av uppdragen</t>
  </si>
  <si>
    <t>Beskrivning av blanketten:</t>
  </si>
  <si>
    <t>Denna blankett ska tas fram inför varje nytt år för att specificera uppdragen samt på vilket sätt ersättningen ges.</t>
  </si>
  <si>
    <t>Blankett: Resultaträkning fördelad</t>
  </si>
  <si>
    <t xml:space="preserve">Denna blankett utgör underlag till sammanställning av intäkter och kostnader. En sådan tas fram för samtliga organisatoriska enheter. </t>
  </si>
  <si>
    <t>Alla delar finns kanske inte inom ett landsting och kolumnerna kan då tas bort alternativt inte fyllas i/döljas. De kolumner som anges är minimikrav om uppdragen/versksamheten finns inom landstinget.</t>
  </si>
  <si>
    <t>Om det finns andra uppdrag så ska de specificeras genom egen kolumn om landstinget anser att de är tillräckligt stora alternativt att det finns både konkurrensskyddad och konkurrensutsatt verksamhet.</t>
  </si>
  <si>
    <t>Det är mycket viktigt att specificera olika överföringar mellan företagsverksamhet och myndighetsverksamhet så att alla subventioner blir tydliga. Särskild ruta under resultaträkningen.</t>
  </si>
  <si>
    <t>OBS! Denna flik utgör inte en obligatorisk del av särredovisningen, utan ett arbetsmaterial och exempel på arbetsmodell.</t>
  </si>
  <si>
    <t>Blankett: Sammanställning bokslut</t>
  </si>
  <si>
    <t>Denna blankett ska finnas tillgänglig och en landstingstotal bör sammanställas.</t>
  </si>
  <si>
    <t>Underlag till blanketten är blankett resultaträkning, men om det finns olika organisatoriska enheter så ska dessa slås samman.</t>
  </si>
  <si>
    <t>Samtliga kostnader och intäkter ska ingå dvs både externa och interna. Resultatet ska vid behov kommenteras och alltid ska samtliga subventioner beskrivas så att det blir tydligt</t>
  </si>
  <si>
    <t>Noter ska anges till de mest väsentliga posterna.</t>
  </si>
  <si>
    <t>Specifikation av uppdragen inom tandvården för år 2021</t>
  </si>
  <si>
    <t>(Exempelblankett. Samtliga huvudområden ingår men kan behöva kompletteras eller klassificeras om beroende på det enskilda landstinget)</t>
  </si>
  <si>
    <t>Verksamhetsgrenar / uppdrag</t>
  </si>
  <si>
    <t>Kapiterings-ersättning i kr/inv</t>
  </si>
  <si>
    <t>Fast belopp i tkr</t>
  </si>
  <si>
    <t>Rörlig er-sättning i kr</t>
  </si>
  <si>
    <t>Konto</t>
  </si>
  <si>
    <t>Klassificering</t>
  </si>
  <si>
    <t>Tandvården</t>
  </si>
  <si>
    <t>(beskriv)</t>
  </si>
  <si>
    <t>Barn- och ungdomstandvård</t>
  </si>
  <si>
    <t>Allmäntandvård barn- och unga 3-23 år*</t>
  </si>
  <si>
    <t>Generell barnpeng 1 640 kr</t>
  </si>
  <si>
    <t>Konkurrensutsatt</t>
  </si>
  <si>
    <t>Befolkningsansvar</t>
  </si>
  <si>
    <t>0-2 år 285 kr             3-23 år 38 kr</t>
  </si>
  <si>
    <r>
      <rPr>
        <sz val="12"/>
        <color indexed="8"/>
        <rFont val="Times New Roman"/>
        <family val="1"/>
      </rPr>
      <t xml:space="preserve">Sistahandsansvar ( </t>
    </r>
    <r>
      <rPr>
        <sz val="12"/>
        <rFont val="Times New Roman"/>
        <family val="1"/>
      </rPr>
      <t>jour 1 315</t>
    </r>
    <r>
      <rPr>
        <sz val="12"/>
        <color indexed="8"/>
        <rFont val="Times New Roman"/>
        <family val="1"/>
      </rPr>
      <t xml:space="preserve"> tkr, handikappanpassning 399 tkr.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Dessa två poster fördelas barn/vuxna.</t>
    </r>
  </si>
  <si>
    <t xml:space="preserve">Ersättning för personal vid svårbemannade kliniker enligt utfall, tot 829 tkr 2021, fördelas barn/vuxna         </t>
  </si>
  <si>
    <t>Konkurrensskyddad</t>
  </si>
  <si>
    <t>Specialisttandvård barn (FTV + sjukhusvård)</t>
  </si>
  <si>
    <t>Tandvård till gömda och ayslsökande barn till 23 år*</t>
  </si>
  <si>
    <t>Enligt taxan</t>
  </si>
  <si>
    <t>Vuxentandvård</t>
  </si>
  <si>
    <t>Allmäntandvård vuxna</t>
  </si>
  <si>
    <t xml:space="preserve"> Sistahandsansvar (jour (se belopp ovan), avskrivna fordringar 827 tkr, handikapp-anpassning (se belopp ovan)</t>
  </si>
  <si>
    <t>Konkurrensskyddat</t>
  </si>
  <si>
    <t>Specialistvård (FTV+ sjukhusvård)</t>
  </si>
  <si>
    <t>Tandvård till patienter med särskilda behov</t>
  </si>
  <si>
    <t>Akut tandvård till gömda och asylsökande patienter from 23 år*</t>
  </si>
  <si>
    <t>Särskilda uppdrag</t>
  </si>
  <si>
    <t>Forskning</t>
  </si>
  <si>
    <t>ingen ersättning 2021</t>
  </si>
  <si>
    <t>Introduktion av nyutexaminerade</t>
  </si>
  <si>
    <t>30 250  kr per månad under 12 månader</t>
  </si>
  <si>
    <t>Nyrekryteringar</t>
  </si>
  <si>
    <t>ST-utbildning</t>
  </si>
  <si>
    <t>Särskild ersättning till specialisttandvårdsverksamhet</t>
  </si>
  <si>
    <t>Övriga mindre projekt och uppdrag</t>
  </si>
  <si>
    <t>Summa tandvård</t>
  </si>
  <si>
    <t xml:space="preserve">Huvudmannaskap </t>
  </si>
  <si>
    <t>Exempelvis beställarenhet (kan i vissa landsting ingå i FTV och ska då särskiljas)</t>
  </si>
  <si>
    <t>Myndighetsverksamhet</t>
  </si>
  <si>
    <t>Tabellen fylls i inför nästkommande år</t>
  </si>
  <si>
    <t>(Om det inom en rad finns både konkurrensutsatt och konkurrensskyddad verksamhet ska det finnas två rader)</t>
  </si>
  <si>
    <t>Tandvården - resultaträkning fördelat per verksamhetsgren/uppdrag, tkr</t>
  </si>
  <si>
    <t>Barntandvård</t>
  </si>
  <si>
    <t>Totalt resultat</t>
  </si>
  <si>
    <t>Allmäntandvård barn- och ungdomar 3-23 år*</t>
  </si>
  <si>
    <t>Fördelning (ex.vis tidredovisning)</t>
  </si>
  <si>
    <t>Befolkningsansvar barn</t>
  </si>
  <si>
    <t>Specialisttandvård barn</t>
  </si>
  <si>
    <t>Tandvård till gömda och asylsökande barn till 23 år*</t>
  </si>
  <si>
    <t>Summa barntandvård</t>
  </si>
  <si>
    <t xml:space="preserve">Allmäntandvård vuxna </t>
  </si>
  <si>
    <t>Befolkningsansvar vuxna</t>
  </si>
  <si>
    <t>Specialisttandvård vuxna</t>
  </si>
  <si>
    <t>Akut tandvård till gömda och asyl-sökande patienter from 24 år*</t>
  </si>
  <si>
    <t>Summa vuxentandvård</t>
  </si>
  <si>
    <t xml:space="preserve">Forskning </t>
  </si>
  <si>
    <t>Nyrekrytering</t>
  </si>
  <si>
    <t>Övriga mindre projekt och uppdrag (konkurrensskyddade)</t>
  </si>
  <si>
    <t>Övriga mindre projekt och uppdrag (konkurrensutsatta)</t>
  </si>
  <si>
    <t>Summa Särskilda uppdrag</t>
  </si>
  <si>
    <t>Huvudmannaskap ex.vis beställarenhet</t>
  </si>
  <si>
    <t>Kontroll</t>
  </si>
  <si>
    <t>I redovisningen</t>
  </si>
  <si>
    <t>efter fördelning</t>
  </si>
  <si>
    <t>ska vara noll</t>
  </si>
  <si>
    <t>Kontonummer</t>
  </si>
  <si>
    <t>Intäkter</t>
  </si>
  <si>
    <t>Ersättning sjukvård/tandvård</t>
  </si>
  <si>
    <t xml:space="preserve">   Ersättning från beställare</t>
  </si>
  <si>
    <t xml:space="preserve">Övriga intäkter </t>
  </si>
  <si>
    <t>Verksamhetens intäkter</t>
  </si>
  <si>
    <t>Kostnader</t>
  </si>
  <si>
    <t>Verksamhetens kostnader inkl avskrivningar</t>
  </si>
  <si>
    <t>Verksamhetens nettokostnader</t>
  </si>
  <si>
    <t>Finansiella intäkter/kostnader</t>
  </si>
  <si>
    <t>Resultat före extraordinära poster</t>
  </si>
  <si>
    <t>Årets resultat</t>
  </si>
  <si>
    <t>Barn</t>
  </si>
  <si>
    <t>Vuxna</t>
  </si>
  <si>
    <t>Belopp</t>
  </si>
  <si>
    <t>Kostnad att fördela:</t>
  </si>
  <si>
    <t>Lönekostnader Allmäntandvården</t>
  </si>
  <si>
    <t>Övriga kostnader Allmäntandvård fördelas barn/vuxna</t>
  </si>
  <si>
    <t>Övriga kostnader TR fördelas vuxna/barn</t>
  </si>
  <si>
    <t>Tandtekniska labbet kostnader fördelas efter köp</t>
  </si>
  <si>
    <t>Tandtekniska labbet intäkter fördelas efter köp</t>
  </si>
  <si>
    <t>Org.enhet ST-tandläkare intäkter fördelas barn/vuxna</t>
  </si>
  <si>
    <t>Org.enhet ST-tandläkare kostnader  fördelas barn/vuxna</t>
  </si>
  <si>
    <t>Org.enhet svårbemannade kliniker intäkter fördelas barn/vuxna</t>
  </si>
  <si>
    <t>Org.enhet  svårbemannade kliniker kostnader  fördelas barn/vuxna</t>
  </si>
  <si>
    <t>Org.enhet Beredskap intäkter fördelas barn/vuxna</t>
  </si>
  <si>
    <t>Org.enhet Beredskap kostnader fördelas barn/vuxna</t>
  </si>
  <si>
    <t>Tandhyg.utb. org 553583 fördelas barn/vuxna</t>
  </si>
  <si>
    <t>Övr FTV gemensamma org. intäkter</t>
  </si>
  <si>
    <t>Övr FTV gemensamma org. kostnader</t>
  </si>
  <si>
    <t>Se fördelning fil förd. nettokostnadsbudgetar</t>
  </si>
  <si>
    <t>Uppdrag 2908 teknisk budgetjustering, läggs med pga av nettokostnadsbudget</t>
  </si>
  <si>
    <t>Uppdrag 2909 områdesansvar barn, läggs med pga av nettokostnadsbudget</t>
  </si>
  <si>
    <t>Uppdrag 2910 ersättning kundförluster, läggs med pga av nettokostnadsbudget</t>
  </si>
  <si>
    <t>Uppdrag 2912 handikappanpassning, läggs med pga av nettokostnadsbudget</t>
  </si>
  <si>
    <t>Uppdrag 2907 beredskap tandvård, läggs med pga av nettokostnadsbudget</t>
  </si>
  <si>
    <t>Sammanställning per verksamhetsgren efter fördelning, årets och ack. resultat, tkr inkl interna poster</t>
  </si>
  <si>
    <t>I kolumn två anges exempel på indelning i KS och KU.</t>
  </si>
  <si>
    <t>KU / KS /</t>
  </si>
  <si>
    <t>Summa intäkter</t>
  </si>
  <si>
    <t>Summa kostnader</t>
  </si>
  <si>
    <t>MV*</t>
  </si>
  <si>
    <t>Folktandvården</t>
  </si>
  <si>
    <t>Allmäntandvårdsersättning 3-23 år*</t>
  </si>
  <si>
    <t>KU</t>
  </si>
  <si>
    <t xml:space="preserve">Befolkningsansvar </t>
  </si>
  <si>
    <t>KS</t>
  </si>
  <si>
    <t xml:space="preserve">Specialisttandvård </t>
  </si>
  <si>
    <t>Eget kapital</t>
  </si>
  <si>
    <t>Akut tandvård till gömda och asylsökande patienter from 24 år*</t>
  </si>
  <si>
    <t>Ingående balans</t>
  </si>
  <si>
    <t>Utgående balans</t>
  </si>
  <si>
    <t>Förändring</t>
  </si>
  <si>
    <t>Kommentar</t>
  </si>
  <si>
    <t>201300-201312</t>
  </si>
  <si>
    <t>Hittar inga bokföringar innan 201300</t>
  </si>
  <si>
    <t>201400-201412</t>
  </si>
  <si>
    <t>201500-201512</t>
  </si>
  <si>
    <t>201600-201612</t>
  </si>
  <si>
    <t>201700-201712</t>
  </si>
  <si>
    <t>Hela underskottet för 2016</t>
  </si>
  <si>
    <t>201800-201812</t>
  </si>
  <si>
    <t>70% av resultatet 2017, 30% överfört till Vårdval Halland</t>
  </si>
  <si>
    <t xml:space="preserve">Särskild ersättning till specialisttandvårdsverksamhet </t>
  </si>
  <si>
    <t>201900-201912</t>
  </si>
  <si>
    <t>70% av resultatet 2018, 30% överfört till Riskfond.      30% av Ledn o Adm resultat 2018 tillfört FTV.</t>
  </si>
  <si>
    <t>202000-202012</t>
  </si>
  <si>
    <t>70% av FTV resultat 2019, 30% överfört till Riskfond.      33% av Ledn o Adm resultat 2019 tillfört FTV.</t>
  </si>
  <si>
    <t>Summa Folktandvård</t>
  </si>
  <si>
    <t>Tidigare särredovisningar</t>
  </si>
  <si>
    <t>Totalt</t>
  </si>
  <si>
    <t>Tandvård vid sjukhus</t>
  </si>
  <si>
    <t>Årets resultat Agresso</t>
  </si>
  <si>
    <t>Käkkliniken, barn</t>
  </si>
  <si>
    <t>Käkkliniken, vuxna</t>
  </si>
  <si>
    <t>Odontologisk röntgen, barn</t>
  </si>
  <si>
    <t>Odontologisk röntgen, vuxna</t>
  </si>
  <si>
    <t>Summa Tandvård vid sjukhus</t>
  </si>
  <si>
    <t>Nedan är sammanställning av alla särredovisningar 2012-2021</t>
  </si>
  <si>
    <t>Resultat/Summa</t>
  </si>
  <si>
    <t xml:space="preserve">Ackumulerat resultat tot   </t>
  </si>
  <si>
    <t>Resultat/summa konkurrensskyddad</t>
  </si>
  <si>
    <t xml:space="preserve">Ackumulerat resultat KS  </t>
  </si>
  <si>
    <t xml:space="preserve">Resultat/summa konkurrensutsatt </t>
  </si>
  <si>
    <t xml:space="preserve">Ackumulerat resultat KU  </t>
  </si>
  <si>
    <t>KU= Konkurrensutsatt verksamhet, KS= Konkurrensskyddad verksamhet samt MV = myndighetsverksamhet</t>
  </si>
  <si>
    <t>Eget kapital IB2021</t>
  </si>
  <si>
    <t>Resultat 2021</t>
  </si>
  <si>
    <t>Summa eget kapital UB2021</t>
  </si>
  <si>
    <t xml:space="preserve">Huvudman - ex.vis beställarenhet </t>
  </si>
  <si>
    <t>MV</t>
  </si>
  <si>
    <t>Allmäntandvårdsersättning 3-21 år*</t>
  </si>
  <si>
    <t>Specialisttandvård</t>
  </si>
  <si>
    <t>Tandvård till gömda och ayslsökande barn till 18 år*</t>
  </si>
  <si>
    <t>Specialistvård</t>
  </si>
  <si>
    <t>Akut tandvård till gömda och asylsökande patienter from 18 år*</t>
  </si>
  <si>
    <t xml:space="preserve">Summa huvudmannaskap </t>
  </si>
  <si>
    <t>202100-202112</t>
  </si>
  <si>
    <t>70% av FTV resultat 2020, 30% överfört till Riskfond. 33% av Ledn o Adm resultat 2020 tillfört FTV.</t>
  </si>
  <si>
    <t>Eget kapital efter 2021 års resultatfördelning: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</si>
</sst>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_-* #,##0\ _k_r_-;\-* #,##0\ _k_r_-;_-* &quot;-&quot;??\ _k_r_-;_-@_-"/>
    <numFmt numFmtId="166" formatCode="0.0%"/>
    <numFmt numFmtId="167" formatCode="_-* #,##0.0\ _k_r_-;\-* #,##0.0\ _k_r_-;_-* &quot;-&quot;?\ _k_r_-;_-@_-"/>
    <numFmt numFmtId="168" formatCode="_-* #,##0\ _k_r_-;\-* #,##0\ _k_r_-;_-* &quot;-&quot;?\ _k_r_-;_-@_-"/>
  </numFmts>
  <fonts count="31" x14ac:knownFonts="1">
    <font>
      <sz val="10"/>
      <name val="Arial"/>
    </font>
    <font>
      <sz val="10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4B084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43">
    <xf numFmtId="0" fontId="0" fillId="0" borderId="0" xfId="0"/>
    <xf numFmtId="0" fontId="4" fillId="0" borderId="1" xfId="0" applyFont="1" applyBorder="1" applyAlignment="1">
      <alignment vertical="top"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wrapText="1" shrinkToFit="1"/>
    </xf>
    <xf numFmtId="0" fontId="3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/>
    <xf numFmtId="0" fontId="10" fillId="0" borderId="0" xfId="0" applyFont="1"/>
    <xf numFmtId="0" fontId="1" fillId="0" borderId="0" xfId="0" applyFont="1" applyAlignment="1">
      <alignment horizontal="right"/>
    </xf>
    <xf numFmtId="0" fontId="10" fillId="0" borderId="4" xfId="0" applyFont="1" applyBorder="1"/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9" fillId="0" borderId="7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2" fillId="0" borderId="0" xfId="0" applyFont="1"/>
    <xf numFmtId="3" fontId="9" fillId="0" borderId="7" xfId="0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0" fontId="11" fillId="0" borderId="0" xfId="0" applyFont="1"/>
    <xf numFmtId="0" fontId="3" fillId="0" borderId="8" xfId="0" applyFont="1" applyBorder="1"/>
    <xf numFmtId="0" fontId="7" fillId="0" borderId="0" xfId="0" applyFont="1" applyAlignment="1">
      <alignment horizontal="left"/>
    </xf>
    <xf numFmtId="4" fontId="10" fillId="0" borderId="2" xfId="0" applyNumberFormat="1" applyFont="1" applyBorder="1" applyAlignment="1">
      <alignment horizontal="left" vertical="top" wrapText="1"/>
    </xf>
    <xf numFmtId="4" fontId="1" fillId="0" borderId="2" xfId="0" applyNumberFormat="1" applyFont="1" applyBorder="1"/>
    <xf numFmtId="4" fontId="1" fillId="0" borderId="1" xfId="0" applyNumberFormat="1" applyFont="1" applyBorder="1"/>
    <xf numFmtId="4" fontId="1" fillId="0" borderId="9" xfId="0" applyNumberFormat="1" applyFont="1" applyBorder="1"/>
    <xf numFmtId="4" fontId="10" fillId="0" borderId="2" xfId="0" applyNumberFormat="1" applyFont="1" applyBorder="1"/>
    <xf numFmtId="4" fontId="1" fillId="0" borderId="10" xfId="0" applyNumberFormat="1" applyFont="1" applyBorder="1"/>
    <xf numFmtId="4" fontId="1" fillId="0" borderId="0" xfId="0" applyNumberFormat="1" applyFont="1" applyAlignment="1">
      <alignment horizontal="left" vertical="top" wrapText="1"/>
    </xf>
    <xf numFmtId="4" fontId="1" fillId="0" borderId="0" xfId="0" applyNumberFormat="1" applyFont="1"/>
    <xf numFmtId="4" fontId="1" fillId="0" borderId="4" xfId="0" applyNumberFormat="1" applyFont="1" applyBorder="1"/>
    <xf numFmtId="4" fontId="1" fillId="0" borderId="6" xfId="0" applyNumberFormat="1" applyFont="1" applyBorder="1"/>
    <xf numFmtId="3" fontId="1" fillId="0" borderId="0" xfId="0" applyNumberFormat="1" applyFont="1" applyAlignment="1">
      <alignment horizontal="left" vertical="top" wrapText="1"/>
    </xf>
    <xf numFmtId="3" fontId="1" fillId="0" borderId="0" xfId="0" applyNumberFormat="1" applyFont="1"/>
    <xf numFmtId="3" fontId="1" fillId="0" borderId="4" xfId="0" applyNumberFormat="1" applyFont="1" applyBorder="1"/>
    <xf numFmtId="3" fontId="1" fillId="0" borderId="6" xfId="0" applyNumberFormat="1" applyFont="1" applyBorder="1"/>
    <xf numFmtId="3" fontId="1" fillId="0" borderId="11" xfId="0" applyNumberFormat="1" applyFont="1" applyBorder="1"/>
    <xf numFmtId="3" fontId="1" fillId="0" borderId="2" xfId="0" applyNumberFormat="1" applyFont="1" applyBorder="1" applyAlignment="1">
      <alignment horizontal="left" vertical="top" wrapText="1"/>
    </xf>
    <xf numFmtId="3" fontId="1" fillId="0" borderId="2" xfId="0" applyNumberFormat="1" applyFont="1" applyBorder="1"/>
    <xf numFmtId="3" fontId="1" fillId="0" borderId="1" xfId="0" applyNumberFormat="1" applyFont="1" applyBorder="1"/>
    <xf numFmtId="3" fontId="1" fillId="0" borderId="9" xfId="0" applyNumberFormat="1" applyFont="1" applyBorder="1"/>
    <xf numFmtId="3" fontId="1" fillId="0" borderId="12" xfId="0" applyNumberFormat="1" applyFont="1" applyBorder="1"/>
    <xf numFmtId="3" fontId="1" fillId="0" borderId="6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0" fillId="0" borderId="6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right" vertical="top" wrapText="1"/>
    </xf>
    <xf numFmtId="3" fontId="10" fillId="0" borderId="4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3" xfId="0" applyNumberFormat="1" applyFont="1" applyBorder="1" applyAlignment="1">
      <alignment horizontal="right" vertical="top" wrapText="1"/>
    </xf>
    <xf numFmtId="3" fontId="10" fillId="0" borderId="14" xfId="0" applyNumberFormat="1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right" vertical="top" wrapText="1"/>
    </xf>
    <xf numFmtId="3" fontId="11" fillId="0" borderId="13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3" fontId="11" fillId="0" borderId="14" xfId="0" applyNumberFormat="1" applyFont="1" applyBorder="1" applyAlignment="1">
      <alignment horizontal="right" vertical="top" wrapText="1"/>
    </xf>
    <xf numFmtId="3" fontId="1" fillId="0" borderId="15" xfId="0" applyNumberFormat="1" applyFont="1" applyBorder="1"/>
    <xf numFmtId="49" fontId="4" fillId="0" borderId="7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left" vertical="top" wrapText="1"/>
    </xf>
    <xf numFmtId="3" fontId="4" fillId="0" borderId="7" xfId="0" applyNumberFormat="1" applyFont="1" applyBorder="1" applyAlignment="1">
      <alignment horizontal="left" vertical="top" wrapText="1"/>
    </xf>
    <xf numFmtId="3" fontId="6" fillId="0" borderId="4" xfId="0" applyNumberFormat="1" applyFont="1" applyBorder="1"/>
    <xf numFmtId="3" fontId="6" fillId="0" borderId="6" xfId="0" applyNumberFormat="1" applyFont="1" applyBorder="1"/>
    <xf numFmtId="4" fontId="1" fillId="0" borderId="13" xfId="0" applyNumberFormat="1" applyFont="1" applyBorder="1"/>
    <xf numFmtId="3" fontId="1" fillId="0" borderId="13" xfId="0" applyNumberFormat="1" applyFont="1" applyBorder="1"/>
    <xf numFmtId="3" fontId="1" fillId="0" borderId="10" xfId="0" applyNumberFormat="1" applyFont="1" applyBorder="1"/>
    <xf numFmtId="0" fontId="3" fillId="0" borderId="1" xfId="0" applyFont="1" applyBorder="1" applyAlignment="1">
      <alignment vertical="top" wrapText="1"/>
    </xf>
    <xf numFmtId="0" fontId="15" fillId="0" borderId="0" xfId="0" applyFont="1"/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3" fontId="6" fillId="0" borderId="13" xfId="0" applyNumberFormat="1" applyFont="1" applyBorder="1"/>
    <xf numFmtId="0" fontId="1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6" fillId="0" borderId="0" xfId="0" applyFont="1"/>
    <xf numFmtId="3" fontId="3" fillId="0" borderId="7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0" fontId="17" fillId="0" borderId="0" xfId="0" applyFont="1"/>
    <xf numFmtId="3" fontId="3" fillId="0" borderId="8" xfId="0" applyNumberFormat="1" applyFont="1" applyBorder="1"/>
    <xf numFmtId="0" fontId="3" fillId="0" borderId="11" xfId="0" applyFont="1" applyBorder="1"/>
    <xf numFmtId="0" fontId="3" fillId="0" borderId="17" xfId="0" applyFont="1" applyBorder="1"/>
    <xf numFmtId="0" fontId="19" fillId="0" borderId="7" xfId="0" applyFont="1" applyBorder="1" applyAlignment="1">
      <alignment vertical="top" wrapText="1"/>
    </xf>
    <xf numFmtId="3" fontId="20" fillId="0" borderId="8" xfId="0" applyNumberFormat="1" applyFont="1" applyBorder="1"/>
    <xf numFmtId="0" fontId="7" fillId="0" borderId="18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9" fillId="2" borderId="3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3" fontId="9" fillId="2" borderId="0" xfId="0" applyNumberFormat="1" applyFont="1" applyFill="1" applyAlignment="1">
      <alignment vertical="top" wrapText="1"/>
    </xf>
    <xf numFmtId="3" fontId="9" fillId="2" borderId="17" xfId="0" applyNumberFormat="1" applyFont="1" applyFill="1" applyBorder="1" applyAlignment="1">
      <alignment vertical="top" wrapText="1"/>
    </xf>
    <xf numFmtId="3" fontId="9" fillId="2" borderId="11" xfId="0" applyNumberFormat="1" applyFont="1" applyFill="1" applyBorder="1" applyAlignment="1">
      <alignment vertical="top" wrapText="1"/>
    </xf>
    <xf numFmtId="3" fontId="4" fillId="2" borderId="11" xfId="0" applyNumberFormat="1" applyFont="1" applyFill="1" applyBorder="1" applyAlignment="1">
      <alignment vertical="top" wrapText="1"/>
    </xf>
    <xf numFmtId="3" fontId="4" fillId="2" borderId="17" xfId="0" applyNumberFormat="1" applyFont="1" applyFill="1" applyBorder="1" applyAlignment="1">
      <alignment vertical="top" wrapText="1"/>
    </xf>
    <xf numFmtId="3" fontId="3" fillId="2" borderId="11" xfId="0" applyNumberFormat="1" applyFont="1" applyFill="1" applyBorder="1" applyAlignment="1">
      <alignment horizontal="right" vertical="top" wrapText="1"/>
    </xf>
    <xf numFmtId="3" fontId="3" fillId="2" borderId="17" xfId="0" applyNumberFormat="1" applyFont="1" applyFill="1" applyBorder="1" applyAlignment="1">
      <alignment horizontal="right" vertical="top" wrapText="1"/>
    </xf>
    <xf numFmtId="3" fontId="3" fillId="2" borderId="12" xfId="0" applyNumberFormat="1" applyFont="1" applyFill="1" applyBorder="1" applyAlignment="1">
      <alignment horizontal="right" vertical="top" wrapText="1"/>
    </xf>
    <xf numFmtId="3" fontId="3" fillId="2" borderId="7" xfId="0" applyNumberFormat="1" applyFont="1" applyFill="1" applyBorder="1" applyAlignment="1">
      <alignment horizontal="right" vertical="top" wrapText="1"/>
    </xf>
    <xf numFmtId="0" fontId="7" fillId="0" borderId="7" xfId="0" applyFont="1" applyBorder="1" applyAlignment="1">
      <alignment vertical="top" wrapText="1"/>
    </xf>
    <xf numFmtId="3" fontId="11" fillId="2" borderId="11" xfId="0" applyNumberFormat="1" applyFont="1" applyFill="1" applyBorder="1" applyAlignment="1">
      <alignment horizontal="left" vertical="top" wrapText="1"/>
    </xf>
    <xf numFmtId="3" fontId="3" fillId="2" borderId="11" xfId="0" applyNumberFormat="1" applyFont="1" applyFill="1" applyBorder="1" applyAlignment="1">
      <alignment horizontal="left" vertical="top" wrapText="1"/>
    </xf>
    <xf numFmtId="3" fontId="11" fillId="2" borderId="11" xfId="0" applyNumberFormat="1" applyFont="1" applyFill="1" applyBorder="1" applyAlignment="1">
      <alignment horizontal="right" vertical="top" wrapText="1"/>
    </xf>
    <xf numFmtId="3" fontId="11" fillId="2" borderId="2" xfId="0" applyNumberFormat="1" applyFont="1" applyFill="1" applyBorder="1" applyAlignment="1">
      <alignment horizontal="right" vertical="top" wrapText="1"/>
    </xf>
    <xf numFmtId="3" fontId="11" fillId="2" borderId="7" xfId="0" applyNumberFormat="1" applyFont="1" applyFill="1" applyBorder="1" applyAlignment="1">
      <alignment horizontal="right" vertical="top" wrapText="1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4" fontId="1" fillId="3" borderId="9" xfId="0" applyNumberFormat="1" applyFont="1" applyFill="1" applyBorder="1"/>
    <xf numFmtId="4" fontId="1" fillId="3" borderId="6" xfId="0" applyNumberFormat="1" applyFont="1" applyFill="1" applyBorder="1"/>
    <xf numFmtId="3" fontId="1" fillId="3" borderId="6" xfId="0" applyNumberFormat="1" applyFont="1" applyFill="1" applyBorder="1"/>
    <xf numFmtId="3" fontId="6" fillId="3" borderId="6" xfId="0" applyNumberFormat="1" applyFont="1" applyFill="1" applyBorder="1"/>
    <xf numFmtId="3" fontId="1" fillId="3" borderId="9" xfId="0" applyNumberFormat="1" applyFont="1" applyFill="1" applyBorder="1"/>
    <xf numFmtId="3" fontId="1" fillId="3" borderId="6" xfId="0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 vertical="top" wrapText="1"/>
    </xf>
    <xf numFmtId="3" fontId="11" fillId="3" borderId="6" xfId="0" applyNumberFormat="1" applyFont="1" applyFill="1" applyBorder="1" applyAlignment="1">
      <alignment horizontal="right" vertical="top" wrapText="1"/>
    </xf>
    <xf numFmtId="3" fontId="1" fillId="3" borderId="15" xfId="0" applyNumberFormat="1" applyFont="1" applyFill="1" applyBorder="1"/>
    <xf numFmtId="0" fontId="10" fillId="4" borderId="5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4" fontId="1" fillId="4" borderId="9" xfId="0" applyNumberFormat="1" applyFont="1" applyFill="1" applyBorder="1"/>
    <xf numFmtId="4" fontId="1" fillId="4" borderId="6" xfId="0" applyNumberFormat="1" applyFont="1" applyFill="1" applyBorder="1"/>
    <xf numFmtId="3" fontId="1" fillId="4" borderId="6" xfId="0" applyNumberFormat="1" applyFont="1" applyFill="1" applyBorder="1"/>
    <xf numFmtId="3" fontId="1" fillId="4" borderId="9" xfId="0" applyNumberFormat="1" applyFont="1" applyFill="1" applyBorder="1"/>
    <xf numFmtId="3" fontId="1" fillId="4" borderId="6" xfId="0" applyNumberFormat="1" applyFont="1" applyFill="1" applyBorder="1" applyAlignment="1">
      <alignment horizontal="right"/>
    </xf>
    <xf numFmtId="3" fontId="10" fillId="4" borderId="6" xfId="0" applyNumberFormat="1" applyFont="1" applyFill="1" applyBorder="1" applyAlignment="1">
      <alignment horizontal="right" vertical="top" wrapText="1"/>
    </xf>
    <xf numFmtId="3" fontId="11" fillId="4" borderId="6" xfId="0" applyNumberFormat="1" applyFont="1" applyFill="1" applyBorder="1" applyAlignment="1">
      <alignment horizontal="right" vertical="top" wrapText="1"/>
    </xf>
    <xf numFmtId="3" fontId="1" fillId="4" borderId="15" xfId="0" applyNumberFormat="1" applyFont="1" applyFill="1" applyBorder="1"/>
    <xf numFmtId="0" fontId="8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right"/>
    </xf>
    <xf numFmtId="4" fontId="10" fillId="4" borderId="9" xfId="0" applyNumberFormat="1" applyFont="1" applyFill="1" applyBorder="1" applyAlignment="1">
      <alignment horizontal="right" vertical="top" wrapText="1"/>
    </xf>
    <xf numFmtId="4" fontId="1" fillId="4" borderId="6" xfId="0" applyNumberFormat="1" applyFont="1" applyFill="1" applyBorder="1" applyAlignment="1">
      <alignment horizontal="right" vertical="top" wrapText="1"/>
    </xf>
    <xf numFmtId="3" fontId="1" fillId="4" borderId="6" xfId="0" applyNumberFormat="1" applyFont="1" applyFill="1" applyBorder="1" applyAlignment="1">
      <alignment horizontal="right" vertical="top" wrapText="1"/>
    </xf>
    <xf numFmtId="3" fontId="1" fillId="4" borderId="19" xfId="0" applyNumberFormat="1" applyFont="1" applyFill="1" applyBorder="1" applyAlignment="1">
      <alignment horizontal="right" vertical="top" wrapText="1"/>
    </xf>
    <xf numFmtId="3" fontId="1" fillId="4" borderId="15" xfId="0" applyNumberFormat="1" applyFont="1" applyFill="1" applyBorder="1" applyAlignment="1">
      <alignment horizontal="right" vertical="top" wrapText="1"/>
    </xf>
    <xf numFmtId="0" fontId="1" fillId="3" borderId="16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/>
    </xf>
    <xf numFmtId="4" fontId="1" fillId="3" borderId="1" xfId="0" applyNumberFormat="1" applyFont="1" applyFill="1" applyBorder="1"/>
    <xf numFmtId="4" fontId="1" fillId="3" borderId="4" xfId="0" applyNumberFormat="1" applyFont="1" applyFill="1" applyBorder="1"/>
    <xf numFmtId="3" fontId="1" fillId="3" borderId="4" xfId="0" applyNumberFormat="1" applyFont="1" applyFill="1" applyBorder="1"/>
    <xf numFmtId="3" fontId="6" fillId="3" borderId="4" xfId="0" applyNumberFormat="1" applyFont="1" applyFill="1" applyBorder="1"/>
    <xf numFmtId="3" fontId="1" fillId="3" borderId="1" xfId="0" applyNumberFormat="1" applyFont="1" applyFill="1" applyBorder="1"/>
    <xf numFmtId="3" fontId="1" fillId="3" borderId="4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 vertical="top" wrapText="1"/>
    </xf>
    <xf numFmtId="3" fontId="10" fillId="3" borderId="4" xfId="0" applyNumberFormat="1" applyFont="1" applyFill="1" applyBorder="1" applyAlignment="1">
      <alignment horizontal="right" vertical="top" wrapText="1"/>
    </xf>
    <xf numFmtId="3" fontId="11" fillId="3" borderId="4" xfId="0" applyNumberFormat="1" applyFont="1" applyFill="1" applyBorder="1" applyAlignment="1">
      <alignment horizontal="right" vertical="top" wrapText="1"/>
    </xf>
    <xf numFmtId="0" fontId="10" fillId="3" borderId="4" xfId="0" applyFont="1" applyFill="1" applyBorder="1"/>
    <xf numFmtId="4" fontId="10" fillId="3" borderId="1" xfId="0" applyNumberFormat="1" applyFont="1" applyFill="1" applyBorder="1"/>
    <xf numFmtId="0" fontId="1" fillId="4" borderId="16" xfId="0" applyFont="1" applyFill="1" applyBorder="1" applyAlignment="1">
      <alignment horizontal="center" wrapText="1"/>
    </xf>
    <xf numFmtId="0" fontId="10" fillId="4" borderId="4" xfId="0" applyFont="1" applyFill="1" applyBorder="1"/>
    <xf numFmtId="4" fontId="1" fillId="4" borderId="1" xfId="0" applyNumberFormat="1" applyFont="1" applyFill="1" applyBorder="1"/>
    <xf numFmtId="4" fontId="1" fillId="4" borderId="4" xfId="0" applyNumberFormat="1" applyFont="1" applyFill="1" applyBorder="1"/>
    <xf numFmtId="3" fontId="1" fillId="4" borderId="4" xfId="0" applyNumberFormat="1" applyFont="1" applyFill="1" applyBorder="1"/>
    <xf numFmtId="3" fontId="6" fillId="4" borderId="4" xfId="0" applyNumberFormat="1" applyFont="1" applyFill="1" applyBorder="1"/>
    <xf numFmtId="3" fontId="1" fillId="4" borderId="1" xfId="0" applyNumberFormat="1" applyFont="1" applyFill="1" applyBorder="1"/>
    <xf numFmtId="3" fontId="1" fillId="4" borderId="4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3" fontId="11" fillId="4" borderId="4" xfId="0" applyNumberFormat="1" applyFont="1" applyFill="1" applyBorder="1" applyAlignment="1">
      <alignment horizontal="right" vertical="top" wrapText="1"/>
    </xf>
    <xf numFmtId="0" fontId="0" fillId="0" borderId="20" xfId="0" applyBorder="1"/>
    <xf numFmtId="0" fontId="0" fillId="0" borderId="18" xfId="0" applyBorder="1"/>
    <xf numFmtId="165" fontId="0" fillId="0" borderId="0" xfId="1" applyNumberFormat="1" applyFont="1" applyBorder="1"/>
    <xf numFmtId="0" fontId="0" fillId="0" borderId="17" xfId="0" applyBorder="1"/>
    <xf numFmtId="0" fontId="21" fillId="0" borderId="11" xfId="0" applyFont="1" applyBorder="1"/>
    <xf numFmtId="0" fontId="21" fillId="0" borderId="12" xfId="0" applyFont="1" applyBorder="1"/>
    <xf numFmtId="165" fontId="0" fillId="0" borderId="2" xfId="1" applyNumberFormat="1" applyFont="1" applyBorder="1"/>
    <xf numFmtId="0" fontId="0" fillId="0" borderId="7" xfId="0" applyBorder="1"/>
    <xf numFmtId="0" fontId="0" fillId="0" borderId="3" xfId="0" applyBorder="1"/>
    <xf numFmtId="0" fontId="21" fillId="0" borderId="0" xfId="0" applyFont="1"/>
    <xf numFmtId="0" fontId="23" fillId="0" borderId="3" xfId="0" applyFont="1" applyBorder="1"/>
    <xf numFmtId="0" fontId="23" fillId="0" borderId="0" xfId="0" applyFont="1"/>
    <xf numFmtId="0" fontId="23" fillId="3" borderId="3" xfId="0" applyFont="1" applyFill="1" applyBorder="1"/>
    <xf numFmtId="0" fontId="23" fillId="3" borderId="0" xfId="0" applyFont="1" applyFill="1"/>
    <xf numFmtId="0" fontId="23" fillId="0" borderId="11" xfId="0" applyFont="1" applyBorder="1"/>
    <xf numFmtId="165" fontId="23" fillId="0" borderId="0" xfId="1" applyNumberFormat="1" applyFont="1" applyBorder="1"/>
    <xf numFmtId="165" fontId="0" fillId="0" borderId="0" xfId="0" applyNumberFormat="1"/>
    <xf numFmtId="165" fontId="0" fillId="0" borderId="0" xfId="1" applyNumberFormat="1" applyFont="1" applyFill="1" applyBorder="1"/>
    <xf numFmtId="165" fontId="23" fillId="0" borderId="0" xfId="1" applyNumberFormat="1" applyFont="1" applyFill="1" applyBorder="1"/>
    <xf numFmtId="0" fontId="3" fillId="5" borderId="0" xfId="0" applyFont="1" applyFill="1"/>
    <xf numFmtId="165" fontId="0" fillId="5" borderId="0" xfId="1" applyNumberFormat="1" applyFont="1" applyFill="1"/>
    <xf numFmtId="165" fontId="0" fillId="4" borderId="0" xfId="0" applyNumberFormat="1" applyFill="1"/>
    <xf numFmtId="165" fontId="24" fillId="0" borderId="0" xfId="0" applyNumberFormat="1" applyFont="1"/>
    <xf numFmtId="165" fontId="24" fillId="0" borderId="0" xfId="1" applyNumberFormat="1" applyFont="1"/>
    <xf numFmtId="165" fontId="0" fillId="4" borderId="0" xfId="1" applyNumberFormat="1" applyFont="1" applyFill="1"/>
    <xf numFmtId="0" fontId="21" fillId="4" borderId="3" xfId="0" applyFont="1" applyFill="1" applyBorder="1"/>
    <xf numFmtId="0" fontId="0" fillId="4" borderId="18" xfId="0" applyFill="1" applyBorder="1"/>
    <xf numFmtId="0" fontId="21" fillId="4" borderId="0" xfId="0" applyFont="1" applyFill="1"/>
    <xf numFmtId="0" fontId="0" fillId="4" borderId="0" xfId="0" applyFill="1"/>
    <xf numFmtId="3" fontId="20" fillId="0" borderId="7" xfId="0" applyNumberFormat="1" applyFont="1" applyBorder="1" applyAlignment="1">
      <alignment horizontal="right" vertical="top" wrapText="1"/>
    </xf>
    <xf numFmtId="3" fontId="27" fillId="0" borderId="7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left" wrapText="1"/>
    </xf>
    <xf numFmtId="165" fontId="21" fillId="0" borderId="0" xfId="1" applyNumberFormat="1" applyFont="1" applyBorder="1"/>
    <xf numFmtId="165" fontId="21" fillId="0" borderId="2" xfId="1" applyNumberFormat="1" applyFont="1" applyBorder="1"/>
    <xf numFmtId="9" fontId="28" fillId="0" borderId="0" xfId="2" applyFont="1"/>
    <xf numFmtId="3" fontId="28" fillId="0" borderId="0" xfId="0" applyNumberFormat="1" applyFont="1" applyAlignment="1">
      <alignment horizontal="right" vertical="top" wrapText="1"/>
    </xf>
    <xf numFmtId="3" fontId="29" fillId="0" borderId="0" xfId="0" applyNumberFormat="1" applyFont="1" applyAlignment="1">
      <alignment horizontal="right" vertical="top" wrapText="1"/>
    </xf>
    <xf numFmtId="3" fontId="28" fillId="0" borderId="0" xfId="0" applyNumberFormat="1" applyFont="1"/>
    <xf numFmtId="0" fontId="24" fillId="0" borderId="0" xfId="0" applyFont="1"/>
    <xf numFmtId="165" fontId="21" fillId="0" borderId="0" xfId="1" applyNumberFormat="1" applyFont="1"/>
    <xf numFmtId="165" fontId="21" fillId="0" borderId="0" xfId="0" applyNumberFormat="1" applyFont="1"/>
    <xf numFmtId="0" fontId="7" fillId="0" borderId="16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6" fontId="28" fillId="0" borderId="0" xfId="2" applyNumberFormat="1" applyFont="1"/>
    <xf numFmtId="165" fontId="28" fillId="0" borderId="0" xfId="1" applyNumberFormat="1" applyFont="1"/>
    <xf numFmtId="165" fontId="28" fillId="0" borderId="0" xfId="1" applyNumberFormat="1" applyFont="1" applyAlignment="1">
      <alignment horizontal="left"/>
    </xf>
    <xf numFmtId="0" fontId="28" fillId="0" borderId="0" xfId="0" applyFont="1"/>
    <xf numFmtId="165" fontId="30" fillId="0" borderId="0" xfId="1" applyNumberFormat="1" applyFont="1"/>
    <xf numFmtId="166" fontId="30" fillId="0" borderId="0" xfId="2" applyNumberFormat="1" applyFont="1"/>
    <xf numFmtId="1" fontId="28" fillId="0" borderId="0" xfId="0" applyNumberFormat="1" applyFont="1"/>
    <xf numFmtId="165" fontId="30" fillId="0" borderId="0" xfId="1" applyNumberFormat="1" applyFont="1" applyAlignment="1">
      <alignment horizontal="left"/>
    </xf>
    <xf numFmtId="3" fontId="28" fillId="0" borderId="11" xfId="0" applyNumberFormat="1" applyFont="1" applyBorder="1"/>
    <xf numFmtId="3" fontId="28" fillId="0" borderId="12" xfId="0" applyNumberFormat="1" applyFont="1" applyBorder="1"/>
    <xf numFmtId="1" fontId="30" fillId="0" borderId="0" xfId="0" applyNumberFormat="1" applyFont="1"/>
    <xf numFmtId="0" fontId="1" fillId="0" borderId="0" xfId="0" applyFont="1" applyAlignment="1">
      <alignment wrapText="1"/>
    </xf>
    <xf numFmtId="3" fontId="30" fillId="0" borderId="11" xfId="0" applyNumberFormat="1" applyFont="1" applyBorder="1"/>
    <xf numFmtId="167" fontId="1" fillId="0" borderId="0" xfId="0" applyNumberFormat="1" applyFont="1"/>
    <xf numFmtId="168" fontId="1" fillId="0" borderId="0" xfId="0" applyNumberFormat="1" applyFont="1"/>
    <xf numFmtId="0" fontId="30" fillId="0" borderId="0" xfId="0" applyFont="1"/>
    <xf numFmtId="165" fontId="30" fillId="0" borderId="0" xfId="1" applyNumberFormat="1" applyFont="1" applyFill="1" applyAlignment="1">
      <alignment horizontal="left"/>
    </xf>
    <xf numFmtId="165" fontId="30" fillId="6" borderId="0" xfId="1" applyNumberFormat="1" applyFont="1" applyFill="1" applyAlignment="1">
      <alignment horizontal="left"/>
    </xf>
    <xf numFmtId="0" fontId="7" fillId="0" borderId="0" xfId="0" applyFont="1" applyAlignment="1"/>
    <xf numFmtId="0" fontId="1" fillId="0" borderId="0" xfId="0" applyFont="1" applyAlignment="1">
      <alignment horizontal="center" wrapText="1"/>
    </xf>
    <xf numFmtId="0" fontId="7" fillId="0" borderId="16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</cellXfs>
  <cellStyles count="3"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27"/>
  <sheetViews>
    <sheetView workbookViewId="0">
      <selection activeCell="N25" sqref="N25"/>
    </sheetView>
  </sheetViews>
  <sheetFormatPr defaultRowHeight="12.75" x14ac:dyDescent="0.2"/>
  <sheetData>
    <row r="4" spans="1:1" ht="15.75" x14ac:dyDescent="0.25">
      <c r="A4" s="92" t="s">
        <v>0</v>
      </c>
    </row>
    <row r="6" spans="1:1" ht="15.75" x14ac:dyDescent="0.25">
      <c r="A6" s="31" t="s">
        <v>1</v>
      </c>
    </row>
    <row r="7" spans="1:1" ht="15.75" x14ac:dyDescent="0.25">
      <c r="A7" s="6" t="s">
        <v>2</v>
      </c>
    </row>
    <row r="8" spans="1:1" ht="15.75" x14ac:dyDescent="0.25">
      <c r="A8" s="6"/>
    </row>
    <row r="10" spans="1:1" ht="15.75" x14ac:dyDescent="0.25">
      <c r="A10" s="92" t="s">
        <v>3</v>
      </c>
    </row>
    <row r="12" spans="1:1" ht="15.75" x14ac:dyDescent="0.25">
      <c r="A12" s="31" t="s">
        <v>1</v>
      </c>
    </row>
    <row r="13" spans="1:1" ht="15.75" x14ac:dyDescent="0.25">
      <c r="A13" s="6" t="s">
        <v>4</v>
      </c>
    </row>
    <row r="14" spans="1:1" ht="15.75" x14ac:dyDescent="0.25">
      <c r="A14" s="6" t="s">
        <v>5</v>
      </c>
    </row>
    <row r="15" spans="1:1" ht="15.75" x14ac:dyDescent="0.25">
      <c r="A15" s="6" t="s">
        <v>6</v>
      </c>
    </row>
    <row r="16" spans="1:1" ht="15.75" x14ac:dyDescent="0.25">
      <c r="A16" s="6" t="s">
        <v>7</v>
      </c>
    </row>
    <row r="17" spans="1:1" ht="15.75" x14ac:dyDescent="0.25">
      <c r="A17" s="6"/>
    </row>
    <row r="18" spans="1:1" ht="15.75" x14ac:dyDescent="0.25">
      <c r="A18" s="6" t="s">
        <v>8</v>
      </c>
    </row>
    <row r="19" spans="1:1" ht="15.75" x14ac:dyDescent="0.25">
      <c r="A19" s="6"/>
    </row>
    <row r="21" spans="1:1" ht="15.75" x14ac:dyDescent="0.25">
      <c r="A21" s="92" t="s">
        <v>9</v>
      </c>
    </row>
    <row r="23" spans="1:1" ht="15.75" x14ac:dyDescent="0.25">
      <c r="A23" s="31" t="s">
        <v>1</v>
      </c>
    </row>
    <row r="24" spans="1:1" ht="15.75" x14ac:dyDescent="0.25">
      <c r="A24" s="6" t="s">
        <v>10</v>
      </c>
    </row>
    <row r="25" spans="1:1" ht="15.75" x14ac:dyDescent="0.25">
      <c r="A25" s="6" t="s">
        <v>11</v>
      </c>
    </row>
    <row r="26" spans="1:1" ht="15.75" x14ac:dyDescent="0.25">
      <c r="A26" s="6" t="s">
        <v>12</v>
      </c>
    </row>
    <row r="27" spans="1:1" ht="15.75" x14ac:dyDescent="0.25">
      <c r="A27" s="6" t="s">
        <v>13</v>
      </c>
    </row>
  </sheetData>
  <phoneticPr fontId="5" type="noConversion"/>
  <pageMargins left="0.45" right="0.31" top="0.57999999999999996" bottom="1" header="0.5" footer="0.5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F41"/>
  <sheetViews>
    <sheetView topLeftCell="A7" workbookViewId="0">
      <selection activeCell="D29" sqref="D29"/>
    </sheetView>
  </sheetViews>
  <sheetFormatPr defaultRowHeight="12.75" x14ac:dyDescent="0.2"/>
  <cols>
    <col min="1" max="1" width="43.42578125" customWidth="1"/>
    <col min="2" max="2" width="18" customWidth="1"/>
    <col min="3" max="3" width="29.42578125" customWidth="1"/>
    <col min="4" max="4" width="25.140625" customWidth="1"/>
    <col min="5" max="5" width="9.140625" hidden="1" customWidth="1"/>
    <col min="6" max="6" width="22.42578125" customWidth="1"/>
  </cols>
  <sheetData>
    <row r="4" spans="1:6" ht="18" x14ac:dyDescent="0.25">
      <c r="A4" s="28" t="s">
        <v>14</v>
      </c>
    </row>
    <row r="5" spans="1:6" ht="6.75" customHeight="1" x14ac:dyDescent="0.25">
      <c r="A5" s="28"/>
    </row>
    <row r="6" spans="1:6" x14ac:dyDescent="0.2">
      <c r="A6" s="95" t="s">
        <v>15</v>
      </c>
    </row>
    <row r="7" spans="1:6" ht="9" customHeight="1" thickBot="1" x14ac:dyDescent="0.25">
      <c r="A7" s="84"/>
    </row>
    <row r="8" spans="1:6" ht="58.5" x14ac:dyDescent="0.2">
      <c r="A8" s="215" t="s">
        <v>16</v>
      </c>
      <c r="B8" s="101" t="s">
        <v>17</v>
      </c>
      <c r="C8" s="215" t="s">
        <v>18</v>
      </c>
      <c r="D8" s="101" t="s">
        <v>19</v>
      </c>
      <c r="E8" s="101" t="s">
        <v>20</v>
      </c>
      <c r="F8" s="101" t="s">
        <v>21</v>
      </c>
    </row>
    <row r="9" spans="1:6" ht="20.25" thickBot="1" x14ac:dyDescent="0.25">
      <c r="A9" s="216" t="s">
        <v>22</v>
      </c>
      <c r="B9" s="25"/>
      <c r="C9" s="29"/>
      <c r="D9" s="29" t="s">
        <v>23</v>
      </c>
      <c r="E9" s="29"/>
      <c r="F9" s="25"/>
    </row>
    <row r="10" spans="1:6" ht="16.5" thickBot="1" x14ac:dyDescent="0.25">
      <c r="A10" s="26"/>
      <c r="B10" s="76"/>
      <c r="C10" s="76"/>
      <c r="D10" s="76"/>
      <c r="E10" s="29"/>
      <c r="F10" s="25"/>
    </row>
    <row r="11" spans="1:6" ht="16.5" thickBot="1" x14ac:dyDescent="0.25">
      <c r="A11" s="26" t="s">
        <v>24</v>
      </c>
      <c r="B11" s="77"/>
      <c r="C11" s="77"/>
      <c r="D11" s="77"/>
      <c r="E11" s="30"/>
      <c r="F11" s="27"/>
    </row>
    <row r="12" spans="1:6" ht="31.5" x14ac:dyDescent="0.2">
      <c r="A12" s="1" t="s">
        <v>25</v>
      </c>
      <c r="B12" s="93" t="s">
        <v>26</v>
      </c>
      <c r="C12" s="93"/>
      <c r="D12" s="93"/>
      <c r="E12" s="75"/>
      <c r="F12" s="27" t="s">
        <v>27</v>
      </c>
    </row>
    <row r="13" spans="1:6" ht="63" x14ac:dyDescent="0.2">
      <c r="A13" s="1" t="s">
        <v>28</v>
      </c>
      <c r="B13" s="93" t="s">
        <v>29</v>
      </c>
      <c r="C13" s="203" t="s">
        <v>30</v>
      </c>
      <c r="D13" s="204" t="s">
        <v>31</v>
      </c>
      <c r="E13" s="75"/>
      <c r="F13" s="27" t="s">
        <v>32</v>
      </c>
    </row>
    <row r="14" spans="1:6" ht="32.25" thickBot="1" x14ac:dyDescent="0.25">
      <c r="A14" s="1" t="s">
        <v>33</v>
      </c>
      <c r="B14" s="93"/>
      <c r="C14" s="93">
        <v>36902</v>
      </c>
      <c r="D14" s="93"/>
      <c r="E14" s="75"/>
      <c r="F14" s="27" t="s">
        <v>32</v>
      </c>
    </row>
    <row r="15" spans="1:6" ht="32.25" thickBot="1" x14ac:dyDescent="0.3">
      <c r="A15" s="1" t="s">
        <v>34</v>
      </c>
      <c r="B15" s="93"/>
      <c r="C15" s="93"/>
      <c r="D15" s="205" t="s">
        <v>35</v>
      </c>
      <c r="E15" s="75"/>
      <c r="F15" s="27" t="s">
        <v>32</v>
      </c>
    </row>
    <row r="16" spans="1:6" ht="16.5" thickBot="1" x14ac:dyDescent="0.25">
      <c r="A16" s="1"/>
      <c r="B16" s="93"/>
      <c r="C16" s="93"/>
      <c r="D16" s="93"/>
      <c r="E16" s="75"/>
      <c r="F16" s="27"/>
    </row>
    <row r="17" spans="1:6" ht="16.5" thickBot="1" x14ac:dyDescent="0.25">
      <c r="A17" s="1"/>
      <c r="B17" s="93"/>
      <c r="C17" s="93"/>
      <c r="D17" s="93"/>
      <c r="E17" s="75"/>
      <c r="F17" s="27"/>
    </row>
    <row r="18" spans="1:6" ht="16.5" thickBot="1" x14ac:dyDescent="0.25">
      <c r="A18" s="26" t="s">
        <v>36</v>
      </c>
      <c r="B18" s="93"/>
      <c r="C18" s="93"/>
      <c r="D18" s="93"/>
      <c r="E18" s="75"/>
      <c r="F18" s="27"/>
    </row>
    <row r="19" spans="1:6" ht="16.5" thickBot="1" x14ac:dyDescent="0.25">
      <c r="A19" s="1" t="s">
        <v>37</v>
      </c>
      <c r="B19" s="93"/>
      <c r="C19" s="93"/>
      <c r="D19" s="93"/>
      <c r="E19" s="75"/>
      <c r="F19" s="27" t="s">
        <v>27</v>
      </c>
    </row>
    <row r="20" spans="1:6" ht="63.75" thickBot="1" x14ac:dyDescent="0.25">
      <c r="A20" s="1" t="s">
        <v>28</v>
      </c>
      <c r="B20" s="93"/>
      <c r="C20" s="204" t="s">
        <v>38</v>
      </c>
      <c r="D20" s="204" t="s">
        <v>31</v>
      </c>
      <c r="E20" s="75"/>
      <c r="F20" s="27" t="s">
        <v>39</v>
      </c>
    </row>
    <row r="21" spans="1:6" ht="16.5" thickBot="1" x14ac:dyDescent="0.25">
      <c r="A21" s="1" t="s">
        <v>40</v>
      </c>
      <c r="B21" s="93"/>
      <c r="C21" s="93"/>
      <c r="D21" s="93"/>
      <c r="E21" s="75"/>
      <c r="F21" s="27" t="s">
        <v>27</v>
      </c>
    </row>
    <row r="22" spans="1:6" ht="16.5" thickBot="1" x14ac:dyDescent="0.3">
      <c r="A22" s="1" t="s">
        <v>41</v>
      </c>
      <c r="B22" s="93"/>
      <c r="C22" s="93"/>
      <c r="D22" s="205" t="s">
        <v>35</v>
      </c>
      <c r="E22" s="75"/>
      <c r="F22" s="27" t="s">
        <v>27</v>
      </c>
    </row>
    <row r="23" spans="1:6" ht="32.25" thickBot="1" x14ac:dyDescent="0.3">
      <c r="A23" s="1" t="s">
        <v>42</v>
      </c>
      <c r="B23" s="93"/>
      <c r="C23" s="93"/>
      <c r="D23" s="205" t="s">
        <v>35</v>
      </c>
      <c r="E23" s="75"/>
      <c r="F23" s="27" t="s">
        <v>39</v>
      </c>
    </row>
    <row r="24" spans="1:6" ht="16.5" thickBot="1" x14ac:dyDescent="0.25">
      <c r="A24" s="1"/>
      <c r="B24" s="93"/>
      <c r="C24" s="93"/>
      <c r="D24" s="93"/>
      <c r="E24" s="75"/>
      <c r="F24" s="27"/>
    </row>
    <row r="25" spans="1:6" ht="16.5" thickBot="1" x14ac:dyDescent="0.25">
      <c r="A25" s="26" t="s">
        <v>43</v>
      </c>
      <c r="B25" s="93"/>
      <c r="C25" s="93"/>
      <c r="D25" s="93"/>
      <c r="E25" s="75"/>
      <c r="F25" s="27"/>
    </row>
    <row r="26" spans="1:6" ht="15.75" x14ac:dyDescent="0.25">
      <c r="A26" s="83" t="s">
        <v>44</v>
      </c>
      <c r="B26" s="93"/>
      <c r="C26" s="205" t="s">
        <v>45</v>
      </c>
      <c r="D26" s="93"/>
      <c r="E26" s="75"/>
      <c r="F26" s="27" t="s">
        <v>32</v>
      </c>
    </row>
    <row r="27" spans="1:6" ht="32.25" thickBot="1" x14ac:dyDescent="0.25">
      <c r="A27" s="83" t="s">
        <v>46</v>
      </c>
      <c r="B27" s="93"/>
      <c r="C27" s="93"/>
      <c r="D27" s="204" t="s">
        <v>47</v>
      </c>
      <c r="E27" s="75"/>
      <c r="F27" s="27" t="s">
        <v>32</v>
      </c>
    </row>
    <row r="28" spans="1:6" ht="16.5" thickBot="1" x14ac:dyDescent="0.25">
      <c r="A28" s="83" t="s">
        <v>48</v>
      </c>
      <c r="B28" s="93"/>
      <c r="C28" s="93"/>
      <c r="D28" s="93"/>
      <c r="E28" s="75"/>
      <c r="F28" s="27" t="s">
        <v>32</v>
      </c>
    </row>
    <row r="29" spans="1:6" ht="16.5" thickBot="1" x14ac:dyDescent="0.3">
      <c r="A29" s="83" t="s">
        <v>49</v>
      </c>
      <c r="B29" s="93"/>
      <c r="C29" s="93"/>
      <c r="D29" s="205">
        <v>1099000</v>
      </c>
      <c r="E29" s="75"/>
      <c r="F29" s="27" t="s">
        <v>32</v>
      </c>
    </row>
    <row r="30" spans="1:6" ht="32.25" thickBot="1" x14ac:dyDescent="0.3">
      <c r="A30" s="83" t="s">
        <v>50</v>
      </c>
      <c r="B30" s="93"/>
      <c r="C30" s="93"/>
      <c r="D30" s="205"/>
      <c r="E30" s="75"/>
      <c r="F30" s="27" t="s">
        <v>32</v>
      </c>
    </row>
    <row r="31" spans="1:6" ht="16.5" thickBot="1" x14ac:dyDescent="0.25">
      <c r="A31" s="83" t="s">
        <v>51</v>
      </c>
      <c r="B31" s="93"/>
      <c r="C31" s="93"/>
      <c r="D31" s="93"/>
      <c r="E31" s="75"/>
      <c r="F31" s="27" t="s">
        <v>32</v>
      </c>
    </row>
    <row r="32" spans="1:6" ht="16.5" thickBot="1" x14ac:dyDescent="0.25">
      <c r="A32" s="83" t="s">
        <v>51</v>
      </c>
      <c r="B32" s="93"/>
      <c r="C32" s="93"/>
      <c r="D32" s="93"/>
      <c r="E32" s="75"/>
      <c r="F32" s="27" t="s">
        <v>27</v>
      </c>
    </row>
    <row r="33" spans="1:6" ht="16.5" thickBot="1" x14ac:dyDescent="0.25">
      <c r="A33" s="1"/>
      <c r="B33" s="93"/>
      <c r="C33" s="93"/>
      <c r="D33" s="93"/>
      <c r="E33" s="75"/>
      <c r="F33" s="27"/>
    </row>
    <row r="34" spans="1:6" ht="16.5" thickBot="1" x14ac:dyDescent="0.25">
      <c r="A34" s="26" t="s">
        <v>52</v>
      </c>
      <c r="B34" s="93"/>
      <c r="C34" s="93"/>
      <c r="D34" s="93"/>
      <c r="E34" s="75"/>
      <c r="F34" s="27"/>
    </row>
    <row r="35" spans="1:6" ht="16.5" thickBot="1" x14ac:dyDescent="0.25">
      <c r="A35" s="1"/>
      <c r="B35" s="93"/>
      <c r="C35" s="93"/>
      <c r="D35" s="93"/>
      <c r="E35" s="75"/>
      <c r="F35" s="27"/>
    </row>
    <row r="36" spans="1:6" ht="20.25" thickBot="1" x14ac:dyDescent="0.25">
      <c r="A36" s="216" t="s">
        <v>53</v>
      </c>
      <c r="B36" s="93"/>
      <c r="C36" s="93"/>
      <c r="D36" s="93"/>
      <c r="E36" s="75"/>
      <c r="F36" s="27"/>
    </row>
    <row r="37" spans="1:6" ht="32.25" thickBot="1" x14ac:dyDescent="0.25">
      <c r="A37" s="1" t="s">
        <v>54</v>
      </c>
      <c r="B37" s="93"/>
      <c r="C37" s="93"/>
      <c r="D37" s="93"/>
      <c r="E37" s="75"/>
      <c r="F37" s="27" t="s">
        <v>55</v>
      </c>
    </row>
    <row r="38" spans="1:6" ht="13.5" thickBot="1" x14ac:dyDescent="0.25"/>
    <row r="39" spans="1:6" ht="16.5" thickBot="1" x14ac:dyDescent="0.3">
      <c r="A39" s="31" t="s">
        <v>56</v>
      </c>
      <c r="B39" s="6"/>
      <c r="C39" s="6"/>
      <c r="D39" s="6"/>
      <c r="E39" s="32"/>
      <c r="F39" s="6"/>
    </row>
    <row r="40" spans="1:6" ht="15.75" x14ac:dyDescent="0.25">
      <c r="A40" s="6" t="s">
        <v>57</v>
      </c>
      <c r="B40" s="6"/>
      <c r="C40" s="6"/>
      <c r="D40" s="6"/>
      <c r="E40" s="6"/>
      <c r="F40" s="6"/>
    </row>
    <row r="41" spans="1:6" ht="15.75" x14ac:dyDescent="0.25">
      <c r="A41" s="6"/>
      <c r="B41" s="6"/>
      <c r="C41" s="6"/>
      <c r="D41" s="6"/>
      <c r="E41" s="6"/>
      <c r="F41" s="6"/>
    </row>
  </sheetData>
  <phoneticPr fontId="5" type="noConversion"/>
  <pageMargins left="0.39" right="0.36" top="0.67" bottom="1" header="0.5" footer="0.5"/>
  <pageSetup paperSize="9" scale="8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S52"/>
  <sheetViews>
    <sheetView topLeftCell="A4" workbookViewId="0">
      <pane xSplit="4" ySplit="26" topLeftCell="F37" activePane="bottomRight" state="frozen"/>
      <selection pane="topRight" activeCell="E4" sqref="E4"/>
      <selection pane="bottomLeft" activeCell="A30" sqref="A30"/>
      <selection pane="bottomRight" activeCell="J26" sqref="J26"/>
    </sheetView>
  </sheetViews>
  <sheetFormatPr defaultColWidth="5.42578125" defaultRowHeight="12.75" x14ac:dyDescent="0.2"/>
  <cols>
    <col min="1" max="1" width="8.5703125" style="4" customWidth="1"/>
    <col min="2" max="2" width="9.7109375" style="4" customWidth="1"/>
    <col min="3" max="3" width="13.140625" style="4" bestFit="1" customWidth="1"/>
    <col min="4" max="4" width="40.7109375" style="4" customWidth="1"/>
    <col min="5" max="5" width="5.42578125" style="3"/>
    <col min="6" max="6" width="15.85546875" style="20" customWidth="1"/>
    <col min="7" max="7" width="15" style="3" customWidth="1"/>
    <col min="8" max="71" width="15" style="4" customWidth="1"/>
    <col min="72" max="16384" width="5.42578125" style="4"/>
  </cols>
  <sheetData>
    <row r="2" spans="4:71" ht="19.5" x14ac:dyDescent="0.35">
      <c r="D2" s="2" t="s">
        <v>58</v>
      </c>
    </row>
    <row r="4" spans="4:71" ht="20.25" thickBot="1" x14ac:dyDescent="0.4">
      <c r="G4" s="2"/>
      <c r="H4" s="235" t="s">
        <v>59</v>
      </c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"/>
      <c r="W4" s="2" t="s">
        <v>36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33" t="s">
        <v>43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S4" s="18"/>
    </row>
    <row r="5" spans="4:71" ht="65.25" thickTop="1" x14ac:dyDescent="0.25">
      <c r="F5" s="143" t="s">
        <v>60</v>
      </c>
      <c r="H5" s="86" t="s">
        <v>61</v>
      </c>
      <c r="I5" s="5" t="s">
        <v>62</v>
      </c>
      <c r="J5" s="150" t="s">
        <v>61</v>
      </c>
      <c r="K5" s="86" t="s">
        <v>63</v>
      </c>
      <c r="L5" s="5" t="s">
        <v>62</v>
      </c>
      <c r="M5" s="150" t="s">
        <v>63</v>
      </c>
      <c r="N5" s="86" t="s">
        <v>64</v>
      </c>
      <c r="O5" s="5" t="s">
        <v>62</v>
      </c>
      <c r="P5" s="150" t="s">
        <v>64</v>
      </c>
      <c r="Q5" s="86" t="s">
        <v>65</v>
      </c>
      <c r="R5" s="5" t="s">
        <v>62</v>
      </c>
      <c r="S5" s="150" t="s">
        <v>65</v>
      </c>
      <c r="T5" s="5"/>
      <c r="U5" s="122" t="s">
        <v>66</v>
      </c>
      <c r="V5" s="5"/>
      <c r="W5" s="86" t="s">
        <v>37</v>
      </c>
      <c r="X5" s="5" t="s">
        <v>62</v>
      </c>
      <c r="Y5" s="163" t="s">
        <v>67</v>
      </c>
      <c r="Z5" s="86" t="s">
        <v>68</v>
      </c>
      <c r="AA5" s="5" t="s">
        <v>62</v>
      </c>
      <c r="AB5" s="163" t="s">
        <v>68</v>
      </c>
      <c r="AC5" s="86" t="s">
        <v>69</v>
      </c>
      <c r="AD5" s="5" t="s">
        <v>62</v>
      </c>
      <c r="AE5" s="163" t="s">
        <v>69</v>
      </c>
      <c r="AF5" s="86" t="s">
        <v>41</v>
      </c>
      <c r="AG5" s="5" t="s">
        <v>62</v>
      </c>
      <c r="AH5" s="163" t="s">
        <v>41</v>
      </c>
      <c r="AI5" s="86" t="s">
        <v>70</v>
      </c>
      <c r="AJ5" s="5" t="s">
        <v>62</v>
      </c>
      <c r="AK5" s="163" t="s">
        <v>70</v>
      </c>
      <c r="AL5" s="86"/>
      <c r="AM5" s="133" t="s">
        <v>71</v>
      </c>
      <c r="AN5" s="22"/>
      <c r="AO5" s="86" t="s">
        <v>44</v>
      </c>
      <c r="AP5" s="5" t="s">
        <v>62</v>
      </c>
      <c r="AQ5" s="85" t="s">
        <v>72</v>
      </c>
      <c r="AR5" s="86" t="s">
        <v>46</v>
      </c>
      <c r="AS5" s="5" t="s">
        <v>62</v>
      </c>
      <c r="AT5" s="85" t="s">
        <v>46</v>
      </c>
      <c r="AU5" s="86" t="s">
        <v>73</v>
      </c>
      <c r="AV5" s="5" t="s">
        <v>62</v>
      </c>
      <c r="AW5" s="85" t="s">
        <v>73</v>
      </c>
      <c r="AX5" s="86" t="s">
        <v>49</v>
      </c>
      <c r="AY5" s="5" t="s">
        <v>62</v>
      </c>
      <c r="AZ5" s="85" t="s">
        <v>49</v>
      </c>
      <c r="BA5" s="86" t="s">
        <v>50</v>
      </c>
      <c r="BB5" s="5" t="s">
        <v>62</v>
      </c>
      <c r="BC5" s="85" t="s">
        <v>50</v>
      </c>
      <c r="BD5" s="86" t="s">
        <v>74</v>
      </c>
      <c r="BE5" s="5" t="s">
        <v>62</v>
      </c>
      <c r="BF5" s="85" t="s">
        <v>74</v>
      </c>
      <c r="BG5" s="86" t="s">
        <v>75</v>
      </c>
      <c r="BH5" s="5" t="s">
        <v>62</v>
      </c>
      <c r="BI5" s="85" t="s">
        <v>75</v>
      </c>
      <c r="BJ5" s="22"/>
      <c r="BK5" s="122" t="s">
        <v>76</v>
      </c>
      <c r="BL5" s="87"/>
      <c r="BM5" s="86" t="s">
        <v>77</v>
      </c>
      <c r="BN5" s="5" t="s">
        <v>62</v>
      </c>
      <c r="BO5" s="85" t="s">
        <v>77</v>
      </c>
      <c r="BP5" s="87"/>
      <c r="BQ5" s="90" t="s">
        <v>78</v>
      </c>
    </row>
    <row r="6" spans="4:71" x14ac:dyDescent="0.2">
      <c r="F6" s="144"/>
      <c r="H6" s="19" t="s">
        <v>79</v>
      </c>
      <c r="J6" s="151" t="s">
        <v>80</v>
      </c>
      <c r="K6" s="19" t="s">
        <v>79</v>
      </c>
      <c r="M6" s="161" t="s">
        <v>80</v>
      </c>
      <c r="N6" s="19" t="s">
        <v>79</v>
      </c>
      <c r="P6" s="161" t="s">
        <v>80</v>
      </c>
      <c r="Q6" s="19" t="s">
        <v>79</v>
      </c>
      <c r="S6" s="161" t="s">
        <v>80</v>
      </c>
      <c r="U6" s="123" t="s">
        <v>80</v>
      </c>
      <c r="W6" s="19" t="s">
        <v>79</v>
      </c>
      <c r="Y6" s="164" t="s">
        <v>80</v>
      </c>
      <c r="Z6" s="19" t="s">
        <v>79</v>
      </c>
      <c r="AB6" s="164" t="s">
        <v>80</v>
      </c>
      <c r="AC6" s="19" t="s">
        <v>79</v>
      </c>
      <c r="AE6" s="164" t="s">
        <v>80</v>
      </c>
      <c r="AF6" s="19" t="s">
        <v>79</v>
      </c>
      <c r="AH6" s="164" t="s">
        <v>80</v>
      </c>
      <c r="AI6" s="19" t="s">
        <v>79</v>
      </c>
      <c r="AK6" s="164" t="s">
        <v>80</v>
      </c>
      <c r="AL6" s="19"/>
      <c r="AM6" s="134" t="s">
        <v>80</v>
      </c>
      <c r="AO6" s="19" t="s">
        <v>79</v>
      </c>
      <c r="AQ6" s="21" t="s">
        <v>80</v>
      </c>
      <c r="AR6" s="19" t="s">
        <v>79</v>
      </c>
      <c r="AT6" s="21" t="s">
        <v>80</v>
      </c>
      <c r="AU6" s="19" t="s">
        <v>79</v>
      </c>
      <c r="AW6" s="21" t="s">
        <v>80</v>
      </c>
      <c r="AX6" s="19" t="s">
        <v>79</v>
      </c>
      <c r="AZ6" s="21" t="s">
        <v>80</v>
      </c>
      <c r="BA6" s="19" t="s">
        <v>79</v>
      </c>
      <c r="BC6" s="21" t="s">
        <v>80</v>
      </c>
      <c r="BD6" s="19" t="s">
        <v>79</v>
      </c>
      <c r="BF6" s="21" t="s">
        <v>80</v>
      </c>
      <c r="BG6" s="19" t="s">
        <v>79</v>
      </c>
      <c r="BI6" s="21" t="s">
        <v>80</v>
      </c>
      <c r="BK6" s="123" t="s">
        <v>80</v>
      </c>
      <c r="BL6" s="88"/>
      <c r="BM6" s="19" t="s">
        <v>79</v>
      </c>
      <c r="BO6" s="21" t="s">
        <v>80</v>
      </c>
      <c r="BP6" s="88"/>
      <c r="BQ6" s="91" t="s">
        <v>81</v>
      </c>
    </row>
    <row r="7" spans="4:71" ht="12" customHeight="1" thickBot="1" x14ac:dyDescent="0.25">
      <c r="D7" s="9"/>
      <c r="E7" s="10" t="s">
        <v>82</v>
      </c>
      <c r="F7" s="145"/>
      <c r="G7" s="34"/>
      <c r="H7" s="35"/>
      <c r="I7" s="35"/>
      <c r="J7" s="152"/>
      <c r="K7" s="35"/>
      <c r="L7" s="35"/>
      <c r="M7" s="152"/>
      <c r="N7" s="35"/>
      <c r="O7" s="35"/>
      <c r="P7" s="162"/>
      <c r="Q7" s="35"/>
      <c r="R7" s="35"/>
      <c r="S7" s="162"/>
      <c r="T7" s="35"/>
      <c r="U7" s="124"/>
      <c r="V7" s="35"/>
      <c r="W7" s="38"/>
      <c r="X7" s="35"/>
      <c r="Y7" s="165"/>
      <c r="Z7" s="38"/>
      <c r="AA7" s="35"/>
      <c r="AB7" s="165"/>
      <c r="AC7" s="38"/>
      <c r="AD7" s="35"/>
      <c r="AE7" s="165"/>
      <c r="AF7" s="38"/>
      <c r="AG7" s="35"/>
      <c r="AH7" s="165"/>
      <c r="AI7" s="38"/>
      <c r="AJ7" s="35"/>
      <c r="AK7" s="165"/>
      <c r="AL7" s="35"/>
      <c r="AM7" s="135"/>
      <c r="AN7" s="39"/>
      <c r="AO7" s="38"/>
      <c r="AP7" s="35"/>
      <c r="AQ7" s="36"/>
      <c r="AR7" s="38"/>
      <c r="AS7" s="35"/>
      <c r="AT7" s="36"/>
      <c r="AU7" s="38"/>
      <c r="AV7" s="35"/>
      <c r="AW7" s="36"/>
      <c r="AX7" s="38"/>
      <c r="AY7" s="35"/>
      <c r="AZ7" s="36"/>
      <c r="BA7" s="38"/>
      <c r="BB7" s="35"/>
      <c r="BC7" s="36"/>
      <c r="BD7" s="38"/>
      <c r="BE7" s="35"/>
      <c r="BF7" s="36"/>
      <c r="BG7" s="38"/>
      <c r="BH7" s="35"/>
      <c r="BI7" s="36"/>
      <c r="BJ7" s="35"/>
      <c r="BK7" s="124"/>
      <c r="BL7" s="39"/>
      <c r="BM7" s="38"/>
      <c r="BN7" s="35"/>
      <c r="BO7" s="36"/>
      <c r="BP7" s="39"/>
      <c r="BQ7" s="37"/>
    </row>
    <row r="8" spans="4:71" x14ac:dyDescent="0.2">
      <c r="D8" s="11"/>
      <c r="E8" s="12"/>
      <c r="F8" s="146"/>
      <c r="G8" s="40"/>
      <c r="H8" s="41"/>
      <c r="I8" s="41"/>
      <c r="J8" s="153"/>
      <c r="K8" s="41"/>
      <c r="L8" s="41"/>
      <c r="M8" s="153"/>
      <c r="N8" s="41"/>
      <c r="O8" s="41"/>
      <c r="P8" s="153"/>
      <c r="Q8" s="41"/>
      <c r="R8" s="41"/>
      <c r="S8" s="153"/>
      <c r="T8" s="41"/>
      <c r="U8" s="125"/>
      <c r="V8" s="41"/>
      <c r="W8" s="41"/>
      <c r="X8" s="41"/>
      <c r="Y8" s="166"/>
      <c r="Z8" s="41"/>
      <c r="AA8" s="41"/>
      <c r="AB8" s="166"/>
      <c r="AC8" s="41"/>
      <c r="AD8" s="41"/>
      <c r="AE8" s="166"/>
      <c r="AF8" s="41"/>
      <c r="AG8" s="41"/>
      <c r="AH8" s="166"/>
      <c r="AI8" s="41"/>
      <c r="AJ8" s="41"/>
      <c r="AK8" s="166"/>
      <c r="AL8" s="41"/>
      <c r="AM8" s="136"/>
      <c r="AN8" s="41"/>
      <c r="AO8" s="41"/>
      <c r="AP8" s="41"/>
      <c r="AQ8" s="42"/>
      <c r="AR8" s="41"/>
      <c r="AS8" s="41"/>
      <c r="AT8" s="42"/>
      <c r="AU8" s="41"/>
      <c r="AV8" s="41"/>
      <c r="AW8" s="42"/>
      <c r="AX8" s="41"/>
      <c r="AY8" s="41"/>
      <c r="AZ8" s="42"/>
      <c r="BA8" s="41"/>
      <c r="BB8" s="41"/>
      <c r="BC8" s="42"/>
      <c r="BD8" s="41"/>
      <c r="BE8" s="41"/>
      <c r="BF8" s="42"/>
      <c r="BG8" s="41"/>
      <c r="BH8" s="41"/>
      <c r="BI8" s="42"/>
      <c r="BJ8" s="41"/>
      <c r="BK8" s="125"/>
      <c r="BL8" s="80"/>
      <c r="BM8" s="41"/>
      <c r="BN8" s="41"/>
      <c r="BO8" s="42"/>
      <c r="BP8" s="80"/>
      <c r="BQ8" s="43"/>
    </row>
    <row r="9" spans="4:71" x14ac:dyDescent="0.2">
      <c r="D9" s="13" t="s">
        <v>83</v>
      </c>
      <c r="E9" s="12"/>
      <c r="F9" s="146"/>
      <c r="G9" s="40"/>
      <c r="H9" s="41"/>
      <c r="I9" s="41"/>
      <c r="J9" s="153"/>
      <c r="K9" s="41"/>
      <c r="L9" s="41"/>
      <c r="M9" s="153"/>
      <c r="N9" s="41"/>
      <c r="O9" s="41"/>
      <c r="P9" s="153"/>
      <c r="Q9" s="41"/>
      <c r="R9" s="41"/>
      <c r="S9" s="153"/>
      <c r="T9" s="41"/>
      <c r="U9" s="125"/>
      <c r="V9" s="41"/>
      <c r="W9" s="41"/>
      <c r="X9" s="41"/>
      <c r="Y9" s="166"/>
      <c r="Z9" s="41"/>
      <c r="AA9" s="41"/>
      <c r="AB9" s="166"/>
      <c r="AC9" s="41"/>
      <c r="AD9" s="41"/>
      <c r="AE9" s="166"/>
      <c r="AF9" s="41"/>
      <c r="AG9" s="41"/>
      <c r="AH9" s="166"/>
      <c r="AI9" s="41"/>
      <c r="AJ9" s="41"/>
      <c r="AK9" s="166"/>
      <c r="AL9" s="41"/>
      <c r="AM9" s="136"/>
      <c r="AN9" s="41"/>
      <c r="AO9" s="41"/>
      <c r="AP9" s="41"/>
      <c r="AQ9" s="42"/>
      <c r="AR9" s="41"/>
      <c r="AS9" s="41"/>
      <c r="AT9" s="42"/>
      <c r="AU9" s="41"/>
      <c r="AV9" s="41"/>
      <c r="AW9" s="42"/>
      <c r="AX9" s="41"/>
      <c r="AY9" s="41"/>
      <c r="AZ9" s="42"/>
      <c r="BA9" s="41"/>
      <c r="BB9" s="41"/>
      <c r="BC9" s="42"/>
      <c r="BD9" s="41"/>
      <c r="BE9" s="41"/>
      <c r="BF9" s="42"/>
      <c r="BG9" s="41"/>
      <c r="BH9" s="41"/>
      <c r="BI9" s="42"/>
      <c r="BJ9" s="41"/>
      <c r="BK9" s="125"/>
      <c r="BL9" s="80"/>
      <c r="BM9" s="41"/>
      <c r="BN9" s="41"/>
      <c r="BO9" s="42"/>
      <c r="BP9" s="80"/>
      <c r="BQ9" s="43"/>
    </row>
    <row r="10" spans="4:71" ht="12" customHeight="1" x14ac:dyDescent="0.2">
      <c r="D10" s="11" t="s">
        <v>84</v>
      </c>
      <c r="E10" s="12"/>
      <c r="F10" s="147">
        <f>U10+AM10+BK10</f>
        <v>-289277.38</v>
      </c>
      <c r="G10" s="44"/>
      <c r="H10" s="45">
        <f>(-109903880/1000)</f>
        <v>-109903.88</v>
      </c>
      <c r="I10" s="45"/>
      <c r="J10" s="154">
        <f>SUM(H10:I10)</f>
        <v>-109903.88</v>
      </c>
      <c r="K10" s="45">
        <f>K48</f>
        <v>-5225.0190000000002</v>
      </c>
      <c r="L10" s="45"/>
      <c r="M10" s="154">
        <f>SUM(K10:L10)</f>
        <v>-5225.0190000000002</v>
      </c>
      <c r="N10" s="45">
        <f>-36902000/1000</f>
        <v>-36902</v>
      </c>
      <c r="O10" s="45"/>
      <c r="P10" s="154">
        <f>SUM(N10:O10)</f>
        <v>-36902</v>
      </c>
      <c r="Q10" s="45">
        <f>-952260/1000</f>
        <v>-952.26</v>
      </c>
      <c r="R10" s="45"/>
      <c r="S10" s="154">
        <f>SUM(Q10:R10)</f>
        <v>-952.26</v>
      </c>
      <c r="T10" s="45"/>
      <c r="U10" s="126">
        <f>J10+M10+P10+S10</f>
        <v>-152983.15900000001</v>
      </c>
      <c r="V10" s="45"/>
      <c r="W10" s="45">
        <f>(-124337549/1000)</f>
        <v>-124337.549</v>
      </c>
      <c r="X10" s="45"/>
      <c r="Y10" s="167">
        <f>SUM(W10:X10)</f>
        <v>-124337.549</v>
      </c>
      <c r="Z10" s="45">
        <v>-807</v>
      </c>
      <c r="AA10" s="45"/>
      <c r="AB10" s="167">
        <f>SUM(Z10:AA10)</f>
        <v>-807</v>
      </c>
      <c r="AC10" s="45">
        <f>(-880705/1000)</f>
        <v>-880.70500000000004</v>
      </c>
      <c r="AD10" s="45"/>
      <c r="AE10" s="167">
        <f>SUM(AC10:AD10)</f>
        <v>-880.70500000000004</v>
      </c>
      <c r="AF10" s="45">
        <f>-5660223/1000</f>
        <v>-5660.223</v>
      </c>
      <c r="AG10" s="45"/>
      <c r="AH10" s="167">
        <f>SUM(AF10:AG10)</f>
        <v>-5660.223</v>
      </c>
      <c r="AI10" s="45">
        <f>-363744/1000</f>
        <v>-363.74400000000003</v>
      </c>
      <c r="AJ10" s="45"/>
      <c r="AK10" s="167">
        <f>SUM(AI10:AJ10)</f>
        <v>-363.74400000000003</v>
      </c>
      <c r="AL10" s="45"/>
      <c r="AM10" s="137">
        <f>Y10+AB10+AE10+AH90+AK10+AH10</f>
        <v>-132049.22100000002</v>
      </c>
      <c r="AN10" s="45"/>
      <c r="AO10" s="45"/>
      <c r="AP10" s="45"/>
      <c r="AQ10" s="46">
        <f>SUM(AO10:AP10)</f>
        <v>0</v>
      </c>
      <c r="AR10" s="48">
        <f>-3146000/1000</f>
        <v>-3146</v>
      </c>
      <c r="AS10" s="45"/>
      <c r="AT10" s="46">
        <f>SUM(AR10:AS10)</f>
        <v>-3146</v>
      </c>
      <c r="AU10" s="48"/>
      <c r="AV10" s="45"/>
      <c r="AW10" s="46">
        <f>SUM(AU10:AV10)</f>
        <v>0</v>
      </c>
      <c r="AX10" s="229">
        <v>-1099</v>
      </c>
      <c r="AY10" s="45"/>
      <c r="AZ10" s="46">
        <f>SUM(AX10:AY10)</f>
        <v>-1099</v>
      </c>
      <c r="BA10" s="48"/>
      <c r="BB10" s="45"/>
      <c r="BC10" s="46">
        <f>SUM(BA10:BB10)</f>
        <v>0</v>
      </c>
      <c r="BD10" s="48"/>
      <c r="BE10" s="45"/>
      <c r="BF10" s="46">
        <f>SUM(BD10:BE10)</f>
        <v>0</v>
      </c>
      <c r="BG10" s="48"/>
      <c r="BH10" s="45"/>
      <c r="BI10" s="46">
        <f>SUM(BG10:BH10)</f>
        <v>0</v>
      </c>
      <c r="BJ10" s="45"/>
      <c r="BK10" s="126">
        <f>AQ10+AT10+AW10+AZ10+BC10+BF10+BI10</f>
        <v>-4245</v>
      </c>
      <c r="BL10" s="81"/>
      <c r="BM10" s="45"/>
      <c r="BN10" s="45"/>
      <c r="BO10" s="46">
        <f>SUM(BM10:BN10)</f>
        <v>0</v>
      </c>
      <c r="BP10" s="81"/>
      <c r="BQ10" s="47">
        <f>F10-U10-AM10-BK10-BO10</f>
        <v>2.9103830456733704E-11</v>
      </c>
    </row>
    <row r="11" spans="4:71" ht="12" customHeight="1" x14ac:dyDescent="0.2">
      <c r="D11" s="23" t="s">
        <v>85</v>
      </c>
      <c r="E11" s="24"/>
      <c r="F11" s="147">
        <f t="shared" ref="F11" si="0">U11+AM11+BK11</f>
        <v>0</v>
      </c>
      <c r="G11" s="44"/>
      <c r="H11" s="45"/>
      <c r="I11" s="45"/>
      <c r="J11" s="155">
        <f>SUM(H11:I11)</f>
        <v>0</v>
      </c>
      <c r="K11" s="45"/>
      <c r="L11" s="45"/>
      <c r="M11" s="155">
        <f>SUM(K11:L11)</f>
        <v>0</v>
      </c>
      <c r="N11" s="45"/>
      <c r="O11" s="45"/>
      <c r="P11" s="155">
        <f>SUM(N11:O11)</f>
        <v>0</v>
      </c>
      <c r="Q11" s="45"/>
      <c r="R11" s="45"/>
      <c r="S11" s="155">
        <f>SUM(Q11:R11)</f>
        <v>0</v>
      </c>
      <c r="T11" s="45"/>
      <c r="U11" s="127">
        <f>J11+M11+P11+S11</f>
        <v>0</v>
      </c>
      <c r="V11" s="45"/>
      <c r="W11" s="45"/>
      <c r="X11" s="45"/>
      <c r="Y11" s="168">
        <f>SUM(W11:X11)</f>
        <v>0</v>
      </c>
      <c r="Z11" s="45"/>
      <c r="AA11" s="45"/>
      <c r="AB11" s="168">
        <f>SUM(Z11:AA11)</f>
        <v>0</v>
      </c>
      <c r="AC11" s="45"/>
      <c r="AD11" s="45"/>
      <c r="AE11" s="168">
        <f>SUM(AC11:AD11)</f>
        <v>0</v>
      </c>
      <c r="AF11" s="45"/>
      <c r="AG11" s="45"/>
      <c r="AH11" s="168">
        <f>SUM(AF11:AG11)</f>
        <v>0</v>
      </c>
      <c r="AI11" s="45"/>
      <c r="AJ11" s="45"/>
      <c r="AK11" s="168">
        <f>SUM(AI11:AJ11)</f>
        <v>0</v>
      </c>
      <c r="AL11" s="45"/>
      <c r="AM11" s="137">
        <f>Y11+AB11+AE11+AH11+AK11</f>
        <v>0</v>
      </c>
      <c r="AN11" s="45"/>
      <c r="AO11" s="45"/>
      <c r="AP11" s="45"/>
      <c r="AQ11" s="78">
        <f>SUM(AO11:AP11)</f>
        <v>0</v>
      </c>
      <c r="AR11" s="48"/>
      <c r="AS11" s="45"/>
      <c r="AT11" s="78">
        <f>SUM(AR11:AS11)</f>
        <v>0</v>
      </c>
      <c r="AU11" s="48"/>
      <c r="AV11" s="45"/>
      <c r="AW11" s="78">
        <f>SUM(AU11:AV11)</f>
        <v>0</v>
      </c>
      <c r="AX11" s="225"/>
      <c r="AY11" s="45"/>
      <c r="AZ11" s="78">
        <f>SUM(AX11:AY11)</f>
        <v>0</v>
      </c>
      <c r="BA11" s="48"/>
      <c r="BB11" s="45"/>
      <c r="BC11" s="78">
        <f>SUM(BA11:BB11)</f>
        <v>0</v>
      </c>
      <c r="BD11" s="48"/>
      <c r="BE11" s="45"/>
      <c r="BF11" s="78">
        <f>SUM(BD11:BE11)</f>
        <v>0</v>
      </c>
      <c r="BG11" s="48"/>
      <c r="BH11" s="45"/>
      <c r="BI11" s="78">
        <f>SUM(BG11:BH11)</f>
        <v>0</v>
      </c>
      <c r="BJ11" s="45"/>
      <c r="BK11" s="127">
        <f>AQ11+AT11+AW11+AZ11+BC11+BF11+BI11</f>
        <v>0</v>
      </c>
      <c r="BL11" s="89"/>
      <c r="BM11" s="45"/>
      <c r="BN11" s="45"/>
      <c r="BO11" s="78">
        <f>SUM(BM11:BN11)</f>
        <v>0</v>
      </c>
      <c r="BP11" s="89"/>
      <c r="BQ11" s="79">
        <f>F11-U11-AM11-BK11-BO11</f>
        <v>0</v>
      </c>
    </row>
    <row r="12" spans="4:71" ht="15" customHeight="1" x14ac:dyDescent="0.2">
      <c r="D12" s="11" t="s">
        <v>86</v>
      </c>
      <c r="E12" s="12"/>
      <c r="F12" s="148">
        <f>U12+AM12+BK12</f>
        <v>-21971.007000000001</v>
      </c>
      <c r="G12" s="49"/>
      <c r="H12" s="50"/>
      <c r="I12" s="50">
        <f>-1397232/1000+I34+I37+I41+I43+I45+I47+I50+I51+I52</f>
        <v>-8942.0315200000005</v>
      </c>
      <c r="J12" s="156">
        <f>SUM(H12:I12)</f>
        <v>-8942.0315200000005</v>
      </c>
      <c r="K12" s="50"/>
      <c r="L12" s="50"/>
      <c r="M12" s="156">
        <f>SUM(K12:L12)</f>
        <v>0</v>
      </c>
      <c r="N12" s="50"/>
      <c r="O12" s="50">
        <f>O34+O47+O45-(667794/1000)</f>
        <v>-2919.2619999999997</v>
      </c>
      <c r="P12" s="156">
        <f>SUM(N12:O12)</f>
        <v>-2919.2619999999997</v>
      </c>
      <c r="Q12" s="50"/>
      <c r="R12" s="50"/>
      <c r="S12" s="156">
        <f>SUM(Q12:R12)</f>
        <v>0</v>
      </c>
      <c r="T12" s="50"/>
      <c r="U12" s="128">
        <f>J12+M12+P12+S12</f>
        <v>-11861.293519999999</v>
      </c>
      <c r="V12" s="50"/>
      <c r="W12" s="50"/>
      <c r="X12" s="50">
        <f>-1640229/1000+X34+X37+X39+X41+X43+X45+X47+X49+X50+X51</f>
        <v>-9046.9404800000011</v>
      </c>
      <c r="Y12" s="169">
        <f>SUM(W12:X12)</f>
        <v>-9046.9404800000011</v>
      </c>
      <c r="Z12" s="50"/>
      <c r="AA12" s="50"/>
      <c r="AB12" s="169">
        <f>SUM(Z12:AA12)</f>
        <v>0</v>
      </c>
      <c r="AC12" s="50"/>
      <c r="AD12" s="50">
        <f>AD34+AD45+AD47+AD49-(20653/1000)</f>
        <v>-1062.7730000000001</v>
      </c>
      <c r="AE12" s="169">
        <f>SUM(AC12:AD12)</f>
        <v>-1062.7730000000001</v>
      </c>
      <c r="AF12" s="50"/>
      <c r="AG12" s="50"/>
      <c r="AH12" s="169">
        <f>SUM(AF12:AG12)</f>
        <v>0</v>
      </c>
      <c r="AI12" s="50"/>
      <c r="AJ12" s="50"/>
      <c r="AK12" s="169">
        <f>SUM(AI12:AJ12)</f>
        <v>0</v>
      </c>
      <c r="AL12" s="45"/>
      <c r="AM12" s="138">
        <f>Y12+AB12+AE12+AH12+AK12</f>
        <v>-10109.713480000002</v>
      </c>
      <c r="AN12" s="50"/>
      <c r="AO12" s="50"/>
      <c r="AP12" s="50"/>
      <c r="AQ12" s="51">
        <f>SUM(AO12:AP12)</f>
        <v>0</v>
      </c>
      <c r="AR12" s="53"/>
      <c r="AS12" s="50"/>
      <c r="AT12" s="51">
        <f>SUM(AR12:AS12)</f>
        <v>0</v>
      </c>
      <c r="AU12" s="53"/>
      <c r="AV12" s="50"/>
      <c r="AW12" s="51">
        <f>SUM(AU12:AV12)</f>
        <v>0</v>
      </c>
      <c r="AX12" s="226"/>
      <c r="AY12" s="50"/>
      <c r="AZ12" s="51">
        <f>SUM(AX12:AY12)</f>
        <v>0</v>
      </c>
      <c r="BA12" s="53"/>
      <c r="BB12" s="50"/>
      <c r="BC12" s="51">
        <f>SUM(BA12:BB12)</f>
        <v>0</v>
      </c>
      <c r="BD12" s="53"/>
      <c r="BE12" s="50"/>
      <c r="BF12" s="51">
        <f>SUM(BD12:BE12)</f>
        <v>0</v>
      </c>
      <c r="BG12" s="53"/>
      <c r="BH12" s="50"/>
      <c r="BI12" s="51">
        <f>SUM(BG12:BH12)</f>
        <v>0</v>
      </c>
      <c r="BJ12" s="45"/>
      <c r="BK12" s="128">
        <f>AQ12+AT12+AW12+AZ12+BC12+BF12+BI12</f>
        <v>0</v>
      </c>
      <c r="BL12" s="82"/>
      <c r="BM12" s="50"/>
      <c r="BN12" s="50"/>
      <c r="BO12" s="51">
        <f>SUM(BM12:BN12)</f>
        <v>0</v>
      </c>
      <c r="BP12" s="82"/>
      <c r="BQ12" s="52">
        <f>F12-U12-AM12-BK12-BO12</f>
        <v>0</v>
      </c>
    </row>
    <row r="13" spans="4:71" x14ac:dyDescent="0.2">
      <c r="D13" s="14" t="s">
        <v>87</v>
      </c>
      <c r="E13" s="15"/>
      <c r="F13" s="139">
        <f>F10+F12</f>
        <v>-311248.38699999999</v>
      </c>
      <c r="G13" s="55">
        <f t="shared" ref="G13:BQ13" si="1">G10+G12</f>
        <v>0</v>
      </c>
      <c r="H13" s="56">
        <f>H10+H12</f>
        <v>-109903.88</v>
      </c>
      <c r="I13" s="56">
        <f>I10+I12</f>
        <v>-8942.0315200000005</v>
      </c>
      <c r="J13" s="157">
        <f t="shared" si="1"/>
        <v>-118845.91152000001</v>
      </c>
      <c r="K13" s="56">
        <f t="shared" si="1"/>
        <v>-5225.0190000000002</v>
      </c>
      <c r="L13" s="56">
        <f t="shared" si="1"/>
        <v>0</v>
      </c>
      <c r="M13" s="157">
        <f>M10+M12</f>
        <v>-5225.0190000000002</v>
      </c>
      <c r="N13" s="56">
        <f t="shared" si="1"/>
        <v>-36902</v>
      </c>
      <c r="O13" s="56">
        <f t="shared" si="1"/>
        <v>-2919.2619999999997</v>
      </c>
      <c r="P13" s="157">
        <f t="shared" si="1"/>
        <v>-39821.262000000002</v>
      </c>
      <c r="Q13" s="56">
        <f>Q10+Q12</f>
        <v>-952.26</v>
      </c>
      <c r="R13" s="56">
        <f>R10+R12</f>
        <v>0</v>
      </c>
      <c r="S13" s="157">
        <f>S10+S12</f>
        <v>-952.26</v>
      </c>
      <c r="T13" s="58"/>
      <c r="U13" s="129">
        <f>U10+U12</f>
        <v>-164844.45252000002</v>
      </c>
      <c r="V13" s="56"/>
      <c r="W13" s="56">
        <f t="shared" si="1"/>
        <v>-124337.549</v>
      </c>
      <c r="X13" s="56">
        <f t="shared" si="1"/>
        <v>-9046.9404800000011</v>
      </c>
      <c r="Y13" s="170">
        <f t="shared" si="1"/>
        <v>-133384.48947999999</v>
      </c>
      <c r="Z13" s="56">
        <f t="shared" si="1"/>
        <v>-807</v>
      </c>
      <c r="AA13" s="56">
        <f t="shared" si="1"/>
        <v>0</v>
      </c>
      <c r="AB13" s="170">
        <f t="shared" si="1"/>
        <v>-807</v>
      </c>
      <c r="AC13" s="56">
        <f t="shared" si="1"/>
        <v>-880.70500000000004</v>
      </c>
      <c r="AD13" s="56">
        <f t="shared" si="1"/>
        <v>-1062.7730000000001</v>
      </c>
      <c r="AE13" s="170">
        <f t="shared" si="1"/>
        <v>-1943.4780000000001</v>
      </c>
      <c r="AF13" s="56">
        <f t="shared" ref="AF13:AK13" si="2">AF10+AF12</f>
        <v>-5660.223</v>
      </c>
      <c r="AG13" s="56">
        <f t="shared" si="2"/>
        <v>0</v>
      </c>
      <c r="AH13" s="170">
        <f t="shared" si="2"/>
        <v>-5660.223</v>
      </c>
      <c r="AI13" s="56">
        <f t="shared" si="2"/>
        <v>-363.74400000000003</v>
      </c>
      <c r="AJ13" s="56">
        <f t="shared" si="2"/>
        <v>0</v>
      </c>
      <c r="AK13" s="170">
        <f t="shared" si="2"/>
        <v>-363.74400000000003</v>
      </c>
      <c r="AL13" s="58"/>
      <c r="AM13" s="139">
        <f>AM10+AM12</f>
        <v>-142158.93448000003</v>
      </c>
      <c r="AN13" s="55"/>
      <c r="AO13" s="56">
        <f t="shared" si="1"/>
        <v>0</v>
      </c>
      <c r="AP13" s="56">
        <f t="shared" si="1"/>
        <v>0</v>
      </c>
      <c r="AQ13" s="57">
        <f t="shared" si="1"/>
        <v>0</v>
      </c>
      <c r="AR13" s="59">
        <f>AR10+AR12</f>
        <v>-3146</v>
      </c>
      <c r="AS13" s="56">
        <f t="shared" si="1"/>
        <v>0</v>
      </c>
      <c r="AT13" s="57">
        <f t="shared" si="1"/>
        <v>-3146</v>
      </c>
      <c r="AU13" s="59">
        <f>AU10+AU12</f>
        <v>0</v>
      </c>
      <c r="AV13" s="56">
        <f>AV10+AV12</f>
        <v>0</v>
      </c>
      <c r="AW13" s="57">
        <f t="shared" si="1"/>
        <v>0</v>
      </c>
      <c r="AX13" s="59">
        <f>AX10+AX12</f>
        <v>-1099</v>
      </c>
      <c r="AY13" s="56">
        <f t="shared" si="1"/>
        <v>0</v>
      </c>
      <c r="AZ13" s="57">
        <f t="shared" si="1"/>
        <v>-1099</v>
      </c>
      <c r="BA13" s="59">
        <f t="shared" ref="BA13:BI13" si="3">BA10+BA12</f>
        <v>0</v>
      </c>
      <c r="BB13" s="56">
        <f t="shared" si="3"/>
        <v>0</v>
      </c>
      <c r="BC13" s="57">
        <f t="shared" si="3"/>
        <v>0</v>
      </c>
      <c r="BD13" s="59">
        <f t="shared" si="3"/>
        <v>0</v>
      </c>
      <c r="BE13" s="56">
        <f t="shared" si="3"/>
        <v>0</v>
      </c>
      <c r="BF13" s="57">
        <f t="shared" si="3"/>
        <v>0</v>
      </c>
      <c r="BG13" s="59">
        <f t="shared" si="3"/>
        <v>0</v>
      </c>
      <c r="BH13" s="56">
        <f t="shared" si="3"/>
        <v>0</v>
      </c>
      <c r="BI13" s="57">
        <f t="shared" si="3"/>
        <v>0</v>
      </c>
      <c r="BJ13" s="58">
        <f t="shared" si="1"/>
        <v>0</v>
      </c>
      <c r="BK13" s="129">
        <f t="shared" si="1"/>
        <v>-4245</v>
      </c>
      <c r="BL13" s="55"/>
      <c r="BM13" s="56">
        <f>BM10+BM12</f>
        <v>0</v>
      </c>
      <c r="BN13" s="56">
        <f>BN10+BN12</f>
        <v>0</v>
      </c>
      <c r="BO13" s="57">
        <f>BO10+BO12</f>
        <v>0</v>
      </c>
      <c r="BP13" s="55"/>
      <c r="BQ13" s="54">
        <f t="shared" si="1"/>
        <v>2.9103830456733704E-11</v>
      </c>
    </row>
    <row r="14" spans="4:71" x14ac:dyDescent="0.2">
      <c r="D14" s="11"/>
      <c r="E14" s="12"/>
      <c r="F14" s="147"/>
      <c r="G14" s="60"/>
      <c r="H14" s="60"/>
      <c r="I14" s="209"/>
      <c r="J14" s="158"/>
      <c r="K14" s="60"/>
      <c r="L14" s="60"/>
      <c r="M14" s="158"/>
      <c r="N14" s="60"/>
      <c r="O14" s="209"/>
      <c r="P14" s="158"/>
      <c r="Q14" s="60"/>
      <c r="R14" s="60"/>
      <c r="S14" s="158"/>
      <c r="T14" s="60"/>
      <c r="U14" s="126"/>
      <c r="V14" s="60"/>
      <c r="W14" s="60"/>
      <c r="X14" s="209"/>
      <c r="Y14" s="171"/>
      <c r="Z14" s="60"/>
      <c r="AA14" s="60"/>
      <c r="AB14" s="171"/>
      <c r="AC14" s="60"/>
      <c r="AD14" s="209"/>
      <c r="AE14" s="171"/>
      <c r="AF14" s="60"/>
      <c r="AG14" s="60"/>
      <c r="AH14" s="171"/>
      <c r="AI14" s="60"/>
      <c r="AJ14" s="60"/>
      <c r="AK14" s="171"/>
      <c r="AL14" s="60"/>
      <c r="AM14" s="137"/>
      <c r="AN14" s="45"/>
      <c r="AO14" s="60"/>
      <c r="AP14" s="60"/>
      <c r="AQ14" s="61"/>
      <c r="AR14" s="62"/>
      <c r="AS14" s="60"/>
      <c r="AT14" s="61"/>
      <c r="AU14" s="62"/>
      <c r="AV14" s="60"/>
      <c r="AW14" s="61"/>
      <c r="AX14" s="62"/>
      <c r="AY14" s="60"/>
      <c r="AZ14" s="61"/>
      <c r="BA14" s="62"/>
      <c r="BB14" s="60"/>
      <c r="BC14" s="61"/>
      <c r="BD14" s="62"/>
      <c r="BE14" s="60"/>
      <c r="BF14" s="61"/>
      <c r="BG14" s="62"/>
      <c r="BH14" s="60"/>
      <c r="BI14" s="61"/>
      <c r="BJ14" s="45"/>
      <c r="BK14" s="126"/>
      <c r="BL14" s="81"/>
      <c r="BM14" s="60"/>
      <c r="BN14" s="60"/>
      <c r="BO14" s="61"/>
      <c r="BP14" s="81"/>
      <c r="BQ14" s="47"/>
    </row>
    <row r="15" spans="4:71" x14ac:dyDescent="0.2">
      <c r="D15" s="13" t="s">
        <v>88</v>
      </c>
      <c r="E15" s="12"/>
      <c r="F15" s="147"/>
      <c r="G15" s="60"/>
      <c r="H15" s="60"/>
      <c r="I15" s="209"/>
      <c r="J15" s="158"/>
      <c r="K15" s="60"/>
      <c r="L15" s="60"/>
      <c r="M15" s="158"/>
      <c r="N15" s="60"/>
      <c r="O15" s="209"/>
      <c r="P15" s="158"/>
      <c r="Q15" s="60"/>
      <c r="R15" s="60"/>
      <c r="S15" s="158"/>
      <c r="T15" s="60"/>
      <c r="U15" s="126"/>
      <c r="V15" s="60"/>
      <c r="W15" s="60"/>
      <c r="X15" s="209"/>
      <c r="Y15" s="171"/>
      <c r="Z15" s="60"/>
      <c r="AA15" s="60"/>
      <c r="AB15" s="171"/>
      <c r="AC15" s="60"/>
      <c r="AD15" s="209"/>
      <c r="AE15" s="171"/>
      <c r="AF15" s="60"/>
      <c r="AG15" s="60"/>
      <c r="AH15" s="171"/>
      <c r="AI15" s="60"/>
      <c r="AJ15" s="60"/>
      <c r="AK15" s="171"/>
      <c r="AL15" s="60"/>
      <c r="AM15" s="137"/>
      <c r="AN15" s="45"/>
      <c r="AO15" s="60"/>
      <c r="AP15" s="60"/>
      <c r="AQ15" s="61"/>
      <c r="AR15" s="62"/>
      <c r="AS15" s="60"/>
      <c r="AT15" s="61"/>
      <c r="AU15" s="62"/>
      <c r="AV15" s="60"/>
      <c r="AW15" s="61"/>
      <c r="AX15" s="62"/>
      <c r="AY15" s="60"/>
      <c r="AZ15" s="61"/>
      <c r="BA15" s="62"/>
      <c r="BB15" s="60"/>
      <c r="BC15" s="61"/>
      <c r="BD15" s="62"/>
      <c r="BE15" s="60"/>
      <c r="BF15" s="61"/>
      <c r="BG15" s="62"/>
      <c r="BH15" s="60"/>
      <c r="BI15" s="61"/>
      <c r="BJ15" s="45"/>
      <c r="BK15" s="126"/>
      <c r="BL15" s="81"/>
      <c r="BM15" s="60"/>
      <c r="BN15" s="60"/>
      <c r="BO15" s="61"/>
      <c r="BP15" s="81"/>
      <c r="BQ15" s="47"/>
    </row>
    <row r="16" spans="4:71" x14ac:dyDescent="0.2">
      <c r="D16" s="16"/>
      <c r="E16" s="17"/>
      <c r="F16" s="140"/>
      <c r="G16" s="64"/>
      <c r="H16" s="64"/>
      <c r="I16" s="210"/>
      <c r="J16" s="159"/>
      <c r="K16" s="64"/>
      <c r="L16" s="64"/>
      <c r="M16" s="159"/>
      <c r="N16" s="64"/>
      <c r="O16" s="210"/>
      <c r="P16" s="159"/>
      <c r="Q16" s="64"/>
      <c r="R16" s="64"/>
      <c r="S16" s="159"/>
      <c r="T16" s="64"/>
      <c r="U16" s="130"/>
      <c r="V16" s="64"/>
      <c r="W16" s="64"/>
      <c r="X16" s="210"/>
      <c r="Y16" s="172"/>
      <c r="Z16" s="64"/>
      <c r="AA16" s="64"/>
      <c r="AB16" s="172"/>
      <c r="AC16" s="64"/>
      <c r="AD16" s="210"/>
      <c r="AE16" s="172"/>
      <c r="AF16" s="64"/>
      <c r="AG16" s="64"/>
      <c r="AH16" s="172"/>
      <c r="AI16" s="64"/>
      <c r="AJ16" s="64"/>
      <c r="AK16" s="172"/>
      <c r="AL16" s="64"/>
      <c r="AM16" s="140"/>
      <c r="AN16" s="64"/>
      <c r="AO16" s="64"/>
      <c r="AP16" s="64"/>
      <c r="AQ16" s="65"/>
      <c r="AR16" s="66"/>
      <c r="AS16" s="64"/>
      <c r="AT16" s="65"/>
      <c r="AU16" s="66"/>
      <c r="AV16" s="64"/>
      <c r="AW16" s="65"/>
      <c r="AX16" s="66"/>
      <c r="AY16" s="64"/>
      <c r="AZ16" s="65"/>
      <c r="BA16" s="66"/>
      <c r="BB16" s="64"/>
      <c r="BC16" s="65"/>
      <c r="BD16" s="66"/>
      <c r="BE16" s="64"/>
      <c r="BF16" s="65"/>
      <c r="BG16" s="66"/>
      <c r="BH16" s="64"/>
      <c r="BI16" s="65"/>
      <c r="BJ16" s="64"/>
      <c r="BK16" s="130"/>
      <c r="BL16" s="67"/>
      <c r="BM16" s="64"/>
      <c r="BN16" s="64"/>
      <c r="BO16" s="65"/>
      <c r="BP16" s="67"/>
      <c r="BQ16" s="63"/>
    </row>
    <row r="17" spans="1:69" x14ac:dyDescent="0.2">
      <c r="D17" s="16" t="s">
        <v>89</v>
      </c>
      <c r="E17" s="17"/>
      <c r="F17" s="140">
        <f>U17+AM17+BK17</f>
        <v>305859.05500000005</v>
      </c>
      <c r="G17" s="64"/>
      <c r="H17" s="64">
        <f>2064625/1000</f>
        <v>2064.625</v>
      </c>
      <c r="I17" s="64">
        <f>I30+I31+I33+I38+I42+I44+I46</f>
        <v>109306.05764</v>
      </c>
      <c r="J17" s="159">
        <f>H17+I17</f>
        <v>111370.68264</v>
      </c>
      <c r="K17" s="64">
        <f>5225019/1000</f>
        <v>5225.0190000000002</v>
      </c>
      <c r="L17" s="64"/>
      <c r="M17" s="159">
        <f>K17+L17</f>
        <v>5225.0190000000002</v>
      </c>
      <c r="N17" s="64">
        <f>1428845/1000</f>
        <v>1428.845</v>
      </c>
      <c r="O17" s="64">
        <f>O32+O33+O36+O46</f>
        <v>34040.003479999999</v>
      </c>
      <c r="P17" s="159">
        <f>N17+O17</f>
        <v>35468.848480000001</v>
      </c>
      <c r="Q17" s="64">
        <f>952260/1000</f>
        <v>952.26</v>
      </c>
      <c r="R17" s="64"/>
      <c r="S17" s="159">
        <f>Q17+R17</f>
        <v>952.26</v>
      </c>
      <c r="T17" s="64"/>
      <c r="U17" s="127">
        <f>J17+M17+P17+S17</f>
        <v>153016.81012000001</v>
      </c>
      <c r="V17" s="64"/>
      <c r="W17" s="64">
        <f>10493777/1000</f>
        <v>10493.777</v>
      </c>
      <c r="X17" s="64">
        <f>X30+X31+X33+X38+X40+X42+X44+X46</f>
        <v>126741.89036</v>
      </c>
      <c r="Y17" s="172">
        <f>W17+X17</f>
        <v>137235.66735999999</v>
      </c>
      <c r="Z17" s="64">
        <v>807</v>
      </c>
      <c r="AA17" s="64">
        <f>AA31</f>
        <v>0</v>
      </c>
      <c r="AB17" s="172">
        <f>Z17+AA17</f>
        <v>807</v>
      </c>
      <c r="AC17" s="64">
        <f>109401/1000</f>
        <v>109.401</v>
      </c>
      <c r="AD17" s="64">
        <f>AD32+AD33+AD46</f>
        <v>2040.43452</v>
      </c>
      <c r="AE17" s="172">
        <f>AC17+AD17</f>
        <v>2149.8355200000001</v>
      </c>
      <c r="AF17" s="64">
        <f>5660223/1000</f>
        <v>5660.223</v>
      </c>
      <c r="AG17" s="64"/>
      <c r="AH17" s="172">
        <f>AF17+AG17</f>
        <v>5660.223</v>
      </c>
      <c r="AI17" s="64">
        <f>363744/1000</f>
        <v>363.74400000000003</v>
      </c>
      <c r="AJ17" s="64"/>
      <c r="AK17" s="172">
        <f>AI17+AJ17</f>
        <v>363.74400000000003</v>
      </c>
      <c r="AL17" s="64"/>
      <c r="AM17" s="137">
        <f>Y17+AB17+AE17+AH17+AK17</f>
        <v>146216.46987999999</v>
      </c>
      <c r="AN17" s="64"/>
      <c r="AO17" s="64"/>
      <c r="AP17" s="64"/>
      <c r="AQ17" s="65">
        <f>AO17+AP17</f>
        <v>0</v>
      </c>
      <c r="AR17" s="66">
        <v>3146</v>
      </c>
      <c r="AS17" s="64"/>
      <c r="AT17" s="65">
        <f>AR17+AS17</f>
        <v>3146</v>
      </c>
      <c r="AU17" s="66"/>
      <c r="AV17" s="64"/>
      <c r="AW17" s="65">
        <f>AU17+AV17</f>
        <v>0</v>
      </c>
      <c r="AX17" s="66">
        <v>3479.7750000000001</v>
      </c>
      <c r="AY17" s="64"/>
      <c r="AZ17" s="65">
        <f>AX17+AY17</f>
        <v>3479.7750000000001</v>
      </c>
      <c r="BA17" s="66"/>
      <c r="BB17" s="64"/>
      <c r="BC17" s="65">
        <f>BA17+BB17</f>
        <v>0</v>
      </c>
      <c r="BD17" s="66"/>
      <c r="BE17" s="64"/>
      <c r="BF17" s="65">
        <f>BD17+BE17</f>
        <v>0</v>
      </c>
      <c r="BG17" s="66"/>
      <c r="BH17" s="64"/>
      <c r="BI17" s="65">
        <f>BG17+BH17</f>
        <v>0</v>
      </c>
      <c r="BJ17" s="64"/>
      <c r="BK17" s="126">
        <f>AQ17+AT17+AW17+AZ17+BC17+BF17+BI17</f>
        <v>6625.7749999999996</v>
      </c>
      <c r="BL17" s="81"/>
      <c r="BM17" s="64"/>
      <c r="BN17" s="64"/>
      <c r="BO17" s="65">
        <f>BM17+BN17</f>
        <v>0</v>
      </c>
      <c r="BP17" s="81"/>
      <c r="BQ17" s="47">
        <f>F17-U17-AM17-BK17-BO17</f>
        <v>5.2750692702829838E-11</v>
      </c>
    </row>
    <row r="18" spans="1:69" ht="6.75" customHeight="1" x14ac:dyDescent="0.2">
      <c r="D18" s="11"/>
      <c r="E18" s="12"/>
      <c r="F18" s="147"/>
      <c r="G18" s="60"/>
      <c r="H18" s="60"/>
      <c r="I18" s="60"/>
      <c r="J18" s="158"/>
      <c r="K18" s="60"/>
      <c r="L18" s="60"/>
      <c r="M18" s="158"/>
      <c r="N18" s="60"/>
      <c r="O18" s="60"/>
      <c r="P18" s="158"/>
      <c r="Q18" s="60"/>
      <c r="R18" s="60"/>
      <c r="S18" s="158"/>
      <c r="T18" s="60"/>
      <c r="U18" s="126"/>
      <c r="V18" s="60"/>
      <c r="W18" s="60"/>
      <c r="X18" s="60"/>
      <c r="Y18" s="171"/>
      <c r="Z18" s="60"/>
      <c r="AA18" s="60"/>
      <c r="AB18" s="171"/>
      <c r="AC18" s="60"/>
      <c r="AD18" s="60"/>
      <c r="AE18" s="171"/>
      <c r="AF18" s="60"/>
      <c r="AG18" s="60"/>
      <c r="AH18" s="171"/>
      <c r="AI18" s="60"/>
      <c r="AJ18" s="60"/>
      <c r="AK18" s="171"/>
      <c r="AL18" s="60"/>
      <c r="AM18" s="137"/>
      <c r="AN18" s="45"/>
      <c r="AO18" s="60"/>
      <c r="AP18" s="60"/>
      <c r="AQ18" s="61"/>
      <c r="AR18" s="62"/>
      <c r="AS18" s="60"/>
      <c r="AT18" s="61"/>
      <c r="AU18" s="62"/>
      <c r="AV18" s="60"/>
      <c r="AW18" s="61"/>
      <c r="AX18" s="62"/>
      <c r="AY18" s="60"/>
      <c r="AZ18" s="61"/>
      <c r="BA18" s="62"/>
      <c r="BB18" s="60"/>
      <c r="BC18" s="61"/>
      <c r="BD18" s="62"/>
      <c r="BE18" s="60"/>
      <c r="BF18" s="61"/>
      <c r="BG18" s="62"/>
      <c r="BH18" s="60"/>
      <c r="BI18" s="61"/>
      <c r="BJ18" s="45"/>
      <c r="BK18" s="126"/>
      <c r="BL18" s="81"/>
      <c r="BM18" s="60"/>
      <c r="BN18" s="60"/>
      <c r="BO18" s="61"/>
      <c r="BP18" s="81"/>
      <c r="BQ18" s="47"/>
    </row>
    <row r="19" spans="1:69" ht="6" customHeight="1" x14ac:dyDescent="0.2">
      <c r="D19" s="11"/>
      <c r="E19" s="12"/>
      <c r="F19" s="147"/>
      <c r="G19" s="60"/>
      <c r="H19" s="60"/>
      <c r="I19" s="60"/>
      <c r="J19" s="158"/>
      <c r="K19" s="60"/>
      <c r="L19" s="60"/>
      <c r="M19" s="158"/>
      <c r="N19" s="60"/>
      <c r="O19" s="60"/>
      <c r="P19" s="158"/>
      <c r="Q19" s="60"/>
      <c r="R19" s="60"/>
      <c r="S19" s="158"/>
      <c r="T19" s="60"/>
      <c r="U19" s="126"/>
      <c r="V19" s="60"/>
      <c r="W19" s="60"/>
      <c r="X19" s="60"/>
      <c r="Y19" s="171"/>
      <c r="Z19" s="60"/>
      <c r="AA19" s="60"/>
      <c r="AB19" s="171"/>
      <c r="AC19" s="60"/>
      <c r="AD19" s="60"/>
      <c r="AE19" s="171"/>
      <c r="AF19" s="60"/>
      <c r="AG19" s="60"/>
      <c r="AH19" s="171"/>
      <c r="AI19" s="60"/>
      <c r="AJ19" s="60"/>
      <c r="AK19" s="171"/>
      <c r="AL19" s="60"/>
      <c r="AM19" s="137"/>
      <c r="AN19" s="45"/>
      <c r="AO19" s="60"/>
      <c r="AP19" s="60"/>
      <c r="AQ19" s="61"/>
      <c r="AR19" s="62"/>
      <c r="AS19" s="60"/>
      <c r="AT19" s="61"/>
      <c r="AU19" s="62"/>
      <c r="AV19" s="60"/>
      <c r="AW19" s="61"/>
      <c r="AX19" s="62"/>
      <c r="AY19" s="60"/>
      <c r="AZ19" s="61"/>
      <c r="BA19" s="62"/>
      <c r="BB19" s="60"/>
      <c r="BC19" s="61"/>
      <c r="BD19" s="62"/>
      <c r="BE19" s="60"/>
      <c r="BF19" s="61"/>
      <c r="BG19" s="62"/>
      <c r="BH19" s="60"/>
      <c r="BI19" s="61"/>
      <c r="BJ19" s="45"/>
      <c r="BK19" s="126"/>
      <c r="BL19" s="81"/>
      <c r="BM19" s="60"/>
      <c r="BN19" s="60"/>
      <c r="BO19" s="61"/>
      <c r="BP19" s="81"/>
      <c r="BQ19" s="47"/>
    </row>
    <row r="20" spans="1:69" x14ac:dyDescent="0.2">
      <c r="D20" s="16" t="s">
        <v>90</v>
      </c>
      <c r="E20" s="17"/>
      <c r="F20" s="140">
        <f>F13+F17</f>
        <v>-5389.3319999999367</v>
      </c>
      <c r="G20" s="67"/>
      <c r="H20" s="64">
        <f>H13+H17</f>
        <v>-107839.255</v>
      </c>
      <c r="I20" s="64">
        <f t="shared" ref="I20:P20" si="4">I13+I17</f>
        <v>100364.02611999999</v>
      </c>
      <c r="J20" s="159">
        <f t="shared" si="4"/>
        <v>-7475.2288800000097</v>
      </c>
      <c r="K20" s="64">
        <f t="shared" si="4"/>
        <v>0</v>
      </c>
      <c r="L20" s="64">
        <f t="shared" si="4"/>
        <v>0</v>
      </c>
      <c r="M20" s="159">
        <f t="shared" si="4"/>
        <v>0</v>
      </c>
      <c r="N20" s="64">
        <f>N13+N17</f>
        <v>-35473.154999999999</v>
      </c>
      <c r="O20" s="64">
        <f>O13+O17</f>
        <v>31120.741480000001</v>
      </c>
      <c r="P20" s="159">
        <f t="shared" si="4"/>
        <v>-4352.4135200000019</v>
      </c>
      <c r="Q20" s="64">
        <f>Q13+Q17</f>
        <v>0</v>
      </c>
      <c r="R20" s="64">
        <f>R13+R17</f>
        <v>0</v>
      </c>
      <c r="S20" s="159">
        <f>S13+S17</f>
        <v>0</v>
      </c>
      <c r="T20" s="68"/>
      <c r="U20" s="130">
        <f>U13+U17</f>
        <v>-11827.642400000012</v>
      </c>
      <c r="V20" s="64"/>
      <c r="W20" s="64">
        <f>W13+W17</f>
        <v>-113843.772</v>
      </c>
      <c r="X20" s="64">
        <f>X13+X17</f>
        <v>117694.94988</v>
      </c>
      <c r="Y20" s="172">
        <f t="shared" ref="Y20:AH20" si="5">Y13+Y17</f>
        <v>3851.1778800000029</v>
      </c>
      <c r="Z20" s="64">
        <f t="shared" si="5"/>
        <v>0</v>
      </c>
      <c r="AA20" s="64">
        <f t="shared" si="5"/>
        <v>0</v>
      </c>
      <c r="AB20" s="172">
        <f t="shared" si="5"/>
        <v>0</v>
      </c>
      <c r="AC20" s="64">
        <f t="shared" si="5"/>
        <v>-771.30400000000009</v>
      </c>
      <c r="AD20" s="64">
        <f t="shared" si="5"/>
        <v>977.66151999999988</v>
      </c>
      <c r="AE20" s="172">
        <f t="shared" si="5"/>
        <v>206.35752000000002</v>
      </c>
      <c r="AF20" s="64">
        <f t="shared" si="5"/>
        <v>0</v>
      </c>
      <c r="AG20" s="64">
        <f t="shared" si="5"/>
        <v>0</v>
      </c>
      <c r="AH20" s="172">
        <f t="shared" si="5"/>
        <v>0</v>
      </c>
      <c r="AI20" s="64">
        <f>AI13+AI17</f>
        <v>0</v>
      </c>
      <c r="AJ20" s="64">
        <f>AJ13+AJ17</f>
        <v>0</v>
      </c>
      <c r="AK20" s="172">
        <f>AK13+AK17</f>
        <v>0</v>
      </c>
      <c r="AL20" s="68"/>
      <c r="AM20" s="140">
        <f>AM13+AM17</f>
        <v>4057.5353999999643</v>
      </c>
      <c r="AN20" s="67"/>
      <c r="AO20" s="64">
        <f t="shared" ref="AO20:BK20" si="6">AO13+AO17</f>
        <v>0</v>
      </c>
      <c r="AP20" s="64">
        <f t="shared" si="6"/>
        <v>0</v>
      </c>
      <c r="AQ20" s="65">
        <f t="shared" si="6"/>
        <v>0</v>
      </c>
      <c r="AR20" s="66">
        <f t="shared" si="6"/>
        <v>0</v>
      </c>
      <c r="AS20" s="64">
        <f t="shared" si="6"/>
        <v>0</v>
      </c>
      <c r="AT20" s="65">
        <f t="shared" si="6"/>
        <v>0</v>
      </c>
      <c r="AU20" s="66">
        <f t="shared" si="6"/>
        <v>0</v>
      </c>
      <c r="AV20" s="64">
        <f t="shared" si="6"/>
        <v>0</v>
      </c>
      <c r="AW20" s="65">
        <f t="shared" si="6"/>
        <v>0</v>
      </c>
      <c r="AX20" s="66">
        <f t="shared" si="6"/>
        <v>2380.7750000000001</v>
      </c>
      <c r="AY20" s="64">
        <f t="shared" si="6"/>
        <v>0</v>
      </c>
      <c r="AZ20" s="65">
        <f t="shared" si="6"/>
        <v>2380.7750000000001</v>
      </c>
      <c r="BA20" s="66">
        <f t="shared" si="6"/>
        <v>0</v>
      </c>
      <c r="BB20" s="64">
        <f t="shared" si="6"/>
        <v>0</v>
      </c>
      <c r="BC20" s="65">
        <f t="shared" si="6"/>
        <v>0</v>
      </c>
      <c r="BD20" s="66">
        <f t="shared" si="6"/>
        <v>0</v>
      </c>
      <c r="BE20" s="64">
        <f t="shared" si="6"/>
        <v>0</v>
      </c>
      <c r="BF20" s="65">
        <f t="shared" si="6"/>
        <v>0</v>
      </c>
      <c r="BG20" s="66">
        <f t="shared" si="6"/>
        <v>0</v>
      </c>
      <c r="BH20" s="64">
        <f t="shared" si="6"/>
        <v>0</v>
      </c>
      <c r="BI20" s="65">
        <f t="shared" si="6"/>
        <v>0</v>
      </c>
      <c r="BJ20" s="68">
        <f t="shared" si="6"/>
        <v>0</v>
      </c>
      <c r="BK20" s="130">
        <f t="shared" si="6"/>
        <v>2380.7749999999996</v>
      </c>
      <c r="BL20" s="67"/>
      <c r="BM20" s="64">
        <f>BM13+BM17</f>
        <v>0</v>
      </c>
      <c r="BN20" s="64">
        <f>BN13+BN17</f>
        <v>0</v>
      </c>
      <c r="BO20" s="65">
        <f>BO13+BO17</f>
        <v>0</v>
      </c>
      <c r="BP20" s="67"/>
      <c r="BQ20" s="63">
        <f>BQ13+BQ17</f>
        <v>8.1854523159563541E-11</v>
      </c>
    </row>
    <row r="21" spans="1:69" ht="6.75" customHeight="1" x14ac:dyDescent="0.2">
      <c r="D21" s="11"/>
      <c r="E21" s="12"/>
      <c r="F21" s="147"/>
      <c r="G21" s="60"/>
      <c r="H21" s="60"/>
      <c r="I21" s="60"/>
      <c r="J21" s="158"/>
      <c r="K21" s="60"/>
      <c r="L21" s="60"/>
      <c r="M21" s="158"/>
      <c r="N21" s="60"/>
      <c r="O21" s="60"/>
      <c r="P21" s="158"/>
      <c r="Q21" s="60"/>
      <c r="R21" s="60"/>
      <c r="S21" s="158"/>
      <c r="T21" s="60"/>
      <c r="U21" s="126"/>
      <c r="V21" s="60"/>
      <c r="W21" s="60"/>
      <c r="X21" s="60"/>
      <c r="Y21" s="171"/>
      <c r="Z21" s="60"/>
      <c r="AA21" s="60"/>
      <c r="AB21" s="171"/>
      <c r="AC21" s="60"/>
      <c r="AD21" s="60"/>
      <c r="AE21" s="171"/>
      <c r="AF21" s="60"/>
      <c r="AG21" s="60"/>
      <c r="AH21" s="171"/>
      <c r="AI21" s="60"/>
      <c r="AJ21" s="60"/>
      <c r="AK21" s="171"/>
      <c r="AL21" s="60"/>
      <c r="AM21" s="137"/>
      <c r="AN21" s="45"/>
      <c r="AO21" s="60"/>
      <c r="AP21" s="60"/>
      <c r="AQ21" s="61"/>
      <c r="AR21" s="62"/>
      <c r="AS21" s="60"/>
      <c r="AT21" s="61"/>
      <c r="AU21" s="62"/>
      <c r="AV21" s="60"/>
      <c r="AW21" s="61"/>
      <c r="AX21" s="62"/>
      <c r="AY21" s="60"/>
      <c r="AZ21" s="61"/>
      <c r="BA21" s="62"/>
      <c r="BB21" s="60"/>
      <c r="BC21" s="61"/>
      <c r="BD21" s="62"/>
      <c r="BE21" s="60"/>
      <c r="BF21" s="61"/>
      <c r="BG21" s="62"/>
      <c r="BH21" s="60"/>
      <c r="BI21" s="61"/>
      <c r="BJ21" s="45"/>
      <c r="BK21" s="126"/>
      <c r="BL21" s="81"/>
      <c r="BM21" s="60"/>
      <c r="BN21" s="60"/>
      <c r="BO21" s="61"/>
      <c r="BP21" s="81"/>
      <c r="BQ21" s="47"/>
    </row>
    <row r="22" spans="1:69" x14ac:dyDescent="0.2">
      <c r="D22" s="11" t="s">
        <v>91</v>
      </c>
      <c r="E22" s="12"/>
      <c r="F22" s="147"/>
      <c r="G22" s="60"/>
      <c r="H22" s="60"/>
      <c r="I22" s="60"/>
      <c r="J22" s="158">
        <f>SUM(H22:I22)</f>
        <v>0</v>
      </c>
      <c r="K22" s="60"/>
      <c r="L22" s="60"/>
      <c r="M22" s="158">
        <f>SUM(K22:L22)</f>
        <v>0</v>
      </c>
      <c r="N22" s="60"/>
      <c r="O22" s="60"/>
      <c r="P22" s="158">
        <f>SUM(N22:O22)</f>
        <v>0</v>
      </c>
      <c r="Q22" s="60"/>
      <c r="R22" s="60"/>
      <c r="S22" s="158">
        <f>SUM(Q22:R22)</f>
        <v>0</v>
      </c>
      <c r="T22" s="60"/>
      <c r="U22" s="126">
        <f>J22+M22+P22+S22</f>
        <v>0</v>
      </c>
      <c r="V22" s="60"/>
      <c r="W22" s="60"/>
      <c r="X22" s="60"/>
      <c r="Y22" s="171">
        <f>SUM(W22:X22)</f>
        <v>0</v>
      </c>
      <c r="Z22" s="60"/>
      <c r="AA22" s="60"/>
      <c r="AB22" s="171">
        <f>SUM(Z22:AA22)</f>
        <v>0</v>
      </c>
      <c r="AC22" s="60"/>
      <c r="AD22" s="60"/>
      <c r="AE22" s="171">
        <f>SUM(AC22:AD22)</f>
        <v>0</v>
      </c>
      <c r="AF22" s="60"/>
      <c r="AG22" s="60"/>
      <c r="AH22" s="171">
        <f>SUM(AF22:AG22)</f>
        <v>0</v>
      </c>
      <c r="AI22" s="60"/>
      <c r="AJ22" s="60"/>
      <c r="AK22" s="171">
        <f>SUM(AI22:AJ22)</f>
        <v>0</v>
      </c>
      <c r="AL22" s="60"/>
      <c r="AM22" s="137">
        <f>Y22+AB22+AE22+AH22+AK22</f>
        <v>0</v>
      </c>
      <c r="AN22" s="45"/>
      <c r="AO22" s="60"/>
      <c r="AP22" s="60"/>
      <c r="AQ22" s="61">
        <f>SUM(AO22:AP22)</f>
        <v>0</v>
      </c>
      <c r="AR22" s="62"/>
      <c r="AS22" s="60"/>
      <c r="AT22" s="61">
        <f>SUM(AR22:AS22)</f>
        <v>0</v>
      </c>
      <c r="AU22" s="62"/>
      <c r="AV22" s="60"/>
      <c r="AW22" s="61">
        <f>SUM(AU22:AV22)</f>
        <v>0</v>
      </c>
      <c r="AX22" s="62"/>
      <c r="AY22" s="60"/>
      <c r="AZ22" s="61">
        <f>SUM(AX22:AY22)</f>
        <v>0</v>
      </c>
      <c r="BA22" s="62"/>
      <c r="BB22" s="60"/>
      <c r="BC22" s="61">
        <f>SUM(BA22:BB22)</f>
        <v>0</v>
      </c>
      <c r="BD22" s="62"/>
      <c r="BE22" s="60"/>
      <c r="BF22" s="61">
        <f>SUM(BD22:BE22)</f>
        <v>0</v>
      </c>
      <c r="BG22" s="62"/>
      <c r="BH22" s="60"/>
      <c r="BI22" s="61">
        <f>SUM(BG22:BH22)</f>
        <v>0</v>
      </c>
      <c r="BJ22" s="45"/>
      <c r="BK22" s="126">
        <f>AQ22+AT22+AW22+AZ22+BC22+BF22+BI22</f>
        <v>0</v>
      </c>
      <c r="BL22" s="81"/>
      <c r="BM22" s="60"/>
      <c r="BN22" s="60"/>
      <c r="BO22" s="61">
        <f>SUM(BM22:BN22)</f>
        <v>0</v>
      </c>
      <c r="BP22" s="81"/>
      <c r="BQ22" s="47">
        <f>F22-U22-AM22-BK22-BO22</f>
        <v>0</v>
      </c>
    </row>
    <row r="23" spans="1:69" ht="6.75" customHeight="1" x14ac:dyDescent="0.2">
      <c r="D23" s="11"/>
      <c r="E23" s="12"/>
      <c r="F23" s="147"/>
      <c r="G23" s="60"/>
      <c r="H23" s="60"/>
      <c r="I23" s="60"/>
      <c r="J23" s="158"/>
      <c r="K23" s="60"/>
      <c r="L23" s="60"/>
      <c r="M23" s="158"/>
      <c r="N23" s="60"/>
      <c r="O23" s="60"/>
      <c r="P23" s="158"/>
      <c r="Q23" s="60"/>
      <c r="R23" s="60"/>
      <c r="S23" s="158"/>
      <c r="T23" s="60"/>
      <c r="U23" s="126"/>
      <c r="V23" s="60"/>
      <c r="W23" s="60"/>
      <c r="X23" s="60"/>
      <c r="Y23" s="171"/>
      <c r="Z23" s="60"/>
      <c r="AA23" s="60"/>
      <c r="AB23" s="171"/>
      <c r="AC23" s="60"/>
      <c r="AD23" s="60"/>
      <c r="AE23" s="171"/>
      <c r="AF23" s="60"/>
      <c r="AG23" s="60"/>
      <c r="AH23" s="171"/>
      <c r="AI23" s="60"/>
      <c r="AJ23" s="60"/>
      <c r="AK23" s="171"/>
      <c r="AL23" s="60"/>
      <c r="AM23" s="137"/>
      <c r="AN23" s="45"/>
      <c r="AO23" s="60"/>
      <c r="AP23" s="60"/>
      <c r="AQ23" s="61"/>
      <c r="AR23" s="62"/>
      <c r="AS23" s="60"/>
      <c r="AT23" s="61"/>
      <c r="AU23" s="62"/>
      <c r="AV23" s="60"/>
      <c r="AW23" s="61"/>
      <c r="AX23" s="62"/>
      <c r="AY23" s="60"/>
      <c r="AZ23" s="61"/>
      <c r="BA23" s="62"/>
      <c r="BB23" s="60"/>
      <c r="BC23" s="61"/>
      <c r="BD23" s="62"/>
      <c r="BE23" s="60"/>
      <c r="BF23" s="61"/>
      <c r="BG23" s="62"/>
      <c r="BH23" s="60"/>
      <c r="BI23" s="61"/>
      <c r="BJ23" s="45"/>
      <c r="BK23" s="126"/>
      <c r="BL23" s="81"/>
      <c r="BM23" s="60"/>
      <c r="BN23" s="60"/>
      <c r="BO23" s="61"/>
      <c r="BP23" s="81"/>
      <c r="BQ23" s="47"/>
    </row>
    <row r="24" spans="1:69" x14ac:dyDescent="0.2">
      <c r="D24" s="16" t="s">
        <v>92</v>
      </c>
      <c r="E24" s="17"/>
      <c r="F24" s="140">
        <f>F20+F22</f>
        <v>-5389.3319999999367</v>
      </c>
      <c r="G24" s="67"/>
      <c r="H24" s="64">
        <f t="shared" ref="H24:P24" si="7">H20+H22</f>
        <v>-107839.255</v>
      </c>
      <c r="I24" s="64">
        <f t="shared" si="7"/>
        <v>100364.02611999999</v>
      </c>
      <c r="J24" s="159">
        <f t="shared" si="7"/>
        <v>-7475.2288800000097</v>
      </c>
      <c r="K24" s="64">
        <f t="shared" si="7"/>
        <v>0</v>
      </c>
      <c r="L24" s="64">
        <f t="shared" si="7"/>
        <v>0</v>
      </c>
      <c r="M24" s="159">
        <f t="shared" si="7"/>
        <v>0</v>
      </c>
      <c r="N24" s="64">
        <f t="shared" si="7"/>
        <v>-35473.154999999999</v>
      </c>
      <c r="O24" s="64">
        <f t="shared" si="7"/>
        <v>31120.741480000001</v>
      </c>
      <c r="P24" s="159">
        <f t="shared" si="7"/>
        <v>-4352.4135200000019</v>
      </c>
      <c r="Q24" s="64">
        <f>Q20+Q22</f>
        <v>0</v>
      </c>
      <c r="R24" s="64">
        <f>R20+R22</f>
        <v>0</v>
      </c>
      <c r="S24" s="159">
        <f>S20+S22</f>
        <v>0</v>
      </c>
      <c r="T24" s="68"/>
      <c r="U24" s="130">
        <f>U20+U22</f>
        <v>-11827.642400000012</v>
      </c>
      <c r="V24" s="64"/>
      <c r="W24" s="64">
        <f t="shared" ref="W24:AH24" si="8">W20+W22</f>
        <v>-113843.772</v>
      </c>
      <c r="X24" s="64">
        <f t="shared" si="8"/>
        <v>117694.94988</v>
      </c>
      <c r="Y24" s="172">
        <f t="shared" si="8"/>
        <v>3851.1778800000029</v>
      </c>
      <c r="Z24" s="64">
        <f t="shared" si="8"/>
        <v>0</v>
      </c>
      <c r="AA24" s="64">
        <f t="shared" si="8"/>
        <v>0</v>
      </c>
      <c r="AB24" s="172">
        <f t="shared" si="8"/>
        <v>0</v>
      </c>
      <c r="AC24" s="64">
        <f t="shared" si="8"/>
        <v>-771.30400000000009</v>
      </c>
      <c r="AD24" s="64">
        <f t="shared" si="8"/>
        <v>977.66151999999988</v>
      </c>
      <c r="AE24" s="172">
        <f t="shared" si="8"/>
        <v>206.35752000000002</v>
      </c>
      <c r="AF24" s="64">
        <f t="shared" si="8"/>
        <v>0</v>
      </c>
      <c r="AG24" s="64">
        <f t="shared" si="8"/>
        <v>0</v>
      </c>
      <c r="AH24" s="172">
        <f t="shared" si="8"/>
        <v>0</v>
      </c>
      <c r="AI24" s="64">
        <f>AI20+AI22</f>
        <v>0</v>
      </c>
      <c r="AJ24" s="64">
        <f>AJ20+AJ22</f>
        <v>0</v>
      </c>
      <c r="AK24" s="172">
        <f>AK20+AK22</f>
        <v>0</v>
      </c>
      <c r="AL24" s="68"/>
      <c r="AM24" s="140">
        <f>AM20+AM22</f>
        <v>4057.5353999999643</v>
      </c>
      <c r="AN24" s="67"/>
      <c r="AO24" s="64">
        <f t="shared" ref="AO24:BK24" si="9">AO20+AO22</f>
        <v>0</v>
      </c>
      <c r="AP24" s="64">
        <f t="shared" si="9"/>
        <v>0</v>
      </c>
      <c r="AQ24" s="65">
        <f t="shared" si="9"/>
        <v>0</v>
      </c>
      <c r="AR24" s="66">
        <f t="shared" si="9"/>
        <v>0</v>
      </c>
      <c r="AS24" s="64">
        <f t="shared" si="9"/>
        <v>0</v>
      </c>
      <c r="AT24" s="65">
        <f t="shared" si="9"/>
        <v>0</v>
      </c>
      <c r="AU24" s="66">
        <f t="shared" si="9"/>
        <v>0</v>
      </c>
      <c r="AV24" s="64">
        <f t="shared" si="9"/>
        <v>0</v>
      </c>
      <c r="AW24" s="65">
        <f t="shared" si="9"/>
        <v>0</v>
      </c>
      <c r="AX24" s="66">
        <f t="shared" si="9"/>
        <v>2380.7750000000001</v>
      </c>
      <c r="AY24" s="64">
        <f t="shared" si="9"/>
        <v>0</v>
      </c>
      <c r="AZ24" s="65">
        <f t="shared" si="9"/>
        <v>2380.7750000000001</v>
      </c>
      <c r="BA24" s="66">
        <f t="shared" si="9"/>
        <v>0</v>
      </c>
      <c r="BB24" s="64">
        <f t="shared" si="9"/>
        <v>0</v>
      </c>
      <c r="BC24" s="65">
        <f t="shared" si="9"/>
        <v>0</v>
      </c>
      <c r="BD24" s="66">
        <f t="shared" si="9"/>
        <v>0</v>
      </c>
      <c r="BE24" s="64">
        <f t="shared" si="9"/>
        <v>0</v>
      </c>
      <c r="BF24" s="65">
        <f t="shared" si="9"/>
        <v>0</v>
      </c>
      <c r="BG24" s="66">
        <f t="shared" si="9"/>
        <v>0</v>
      </c>
      <c r="BH24" s="64">
        <f t="shared" si="9"/>
        <v>0</v>
      </c>
      <c r="BI24" s="65">
        <f t="shared" si="9"/>
        <v>0</v>
      </c>
      <c r="BJ24" s="68">
        <f t="shared" si="9"/>
        <v>0</v>
      </c>
      <c r="BK24" s="130">
        <f t="shared" si="9"/>
        <v>2380.7749999999996</v>
      </c>
      <c r="BL24" s="67"/>
      <c r="BM24" s="64">
        <f>BM20+BM22</f>
        <v>0</v>
      </c>
      <c r="BN24" s="64">
        <f>BN20+BN22</f>
        <v>0</v>
      </c>
      <c r="BO24" s="65">
        <f>BO20+BO22</f>
        <v>0</v>
      </c>
      <c r="BP24" s="67"/>
      <c r="BQ24" s="63">
        <f>BQ20+BQ22</f>
        <v>8.1854523159563541E-11</v>
      </c>
    </row>
    <row r="25" spans="1:69" x14ac:dyDescent="0.2">
      <c r="D25" s="16"/>
      <c r="E25" s="17"/>
      <c r="F25" s="140"/>
      <c r="G25" s="67"/>
      <c r="H25" s="64"/>
      <c r="I25" s="64"/>
      <c r="J25" s="158">
        <f>H25+I25</f>
        <v>0</v>
      </c>
      <c r="K25" s="64"/>
      <c r="L25" s="64"/>
      <c r="M25" s="158">
        <f>K25+L25</f>
        <v>0</v>
      </c>
      <c r="N25" s="64"/>
      <c r="O25" s="64"/>
      <c r="P25" s="158">
        <f>N25+O25</f>
        <v>0</v>
      </c>
      <c r="Q25" s="64"/>
      <c r="R25" s="64"/>
      <c r="S25" s="158">
        <f>Q25+R25</f>
        <v>0</v>
      </c>
      <c r="T25" s="68"/>
      <c r="U25" s="126">
        <f>J25+M25+P25+S25</f>
        <v>0</v>
      </c>
      <c r="V25" s="64"/>
      <c r="W25" s="64"/>
      <c r="X25" s="64"/>
      <c r="Y25" s="171">
        <f>W25+X25</f>
        <v>0</v>
      </c>
      <c r="Z25" s="64"/>
      <c r="AA25" s="64"/>
      <c r="AB25" s="171">
        <f>Z25+AA25</f>
        <v>0</v>
      </c>
      <c r="AC25" s="64"/>
      <c r="AD25" s="64"/>
      <c r="AE25" s="171">
        <f>AC25+AD25</f>
        <v>0</v>
      </c>
      <c r="AF25" s="64"/>
      <c r="AG25" s="64"/>
      <c r="AH25" s="171">
        <f>AF25+AG25</f>
        <v>0</v>
      </c>
      <c r="AI25" s="64"/>
      <c r="AJ25" s="64"/>
      <c r="AK25" s="171">
        <f>AI25+AJ25</f>
        <v>0</v>
      </c>
      <c r="AL25" s="68"/>
      <c r="AM25" s="137">
        <f>Y25+AB25+AE25+AH25+AK25</f>
        <v>0</v>
      </c>
      <c r="AN25" s="67"/>
      <c r="AO25" s="64"/>
      <c r="AP25" s="64"/>
      <c r="AQ25" s="61">
        <f>AO25+AP25</f>
        <v>0</v>
      </c>
      <c r="AR25" s="66"/>
      <c r="AS25" s="64"/>
      <c r="AT25" s="61">
        <f>AR25+AS25</f>
        <v>0</v>
      </c>
      <c r="AU25" s="66"/>
      <c r="AV25" s="64"/>
      <c r="AW25" s="61">
        <f>AU25+AV25</f>
        <v>0</v>
      </c>
      <c r="AX25" s="66"/>
      <c r="AY25" s="64"/>
      <c r="AZ25" s="61">
        <f>AX25+AY25</f>
        <v>0</v>
      </c>
      <c r="BA25" s="66"/>
      <c r="BB25" s="64"/>
      <c r="BC25" s="61">
        <f>BA25+BB25</f>
        <v>0</v>
      </c>
      <c r="BD25" s="66"/>
      <c r="BE25" s="64"/>
      <c r="BF25" s="61">
        <f>BD25+BE25</f>
        <v>0</v>
      </c>
      <c r="BG25" s="66"/>
      <c r="BH25" s="64"/>
      <c r="BI25" s="61">
        <f>BG25+BH25</f>
        <v>0</v>
      </c>
      <c r="BJ25" s="68"/>
      <c r="BK25" s="126">
        <f>AQ25+AT25+AW25+AZ25+BC25+BF25+BI25</f>
        <v>0</v>
      </c>
      <c r="BL25" s="81"/>
      <c r="BM25" s="64"/>
      <c r="BN25" s="64"/>
      <c r="BO25" s="61">
        <f>BM25+BN25</f>
        <v>0</v>
      </c>
      <c r="BP25" s="81"/>
      <c r="BQ25" s="47">
        <f>F25-U25-AM25-BK25-BO25</f>
        <v>0</v>
      </c>
    </row>
    <row r="26" spans="1:69" s="6" customFormat="1" ht="15.75" x14ac:dyDescent="0.25">
      <c r="D26" s="7" t="s">
        <v>93</v>
      </c>
      <c r="E26" s="8"/>
      <c r="F26" s="141">
        <f>F24+F25</f>
        <v>-5389.3319999999367</v>
      </c>
      <c r="G26" s="70"/>
      <c r="H26" s="71">
        <f t="shared" ref="H26:P26" si="10">H24+H25</f>
        <v>-107839.255</v>
      </c>
      <c r="I26" s="71">
        <f t="shared" si="10"/>
        <v>100364.02611999999</v>
      </c>
      <c r="J26" s="160">
        <f t="shared" si="10"/>
        <v>-7475.2288800000097</v>
      </c>
      <c r="K26" s="71">
        <f t="shared" si="10"/>
        <v>0</v>
      </c>
      <c r="L26" s="71">
        <f t="shared" si="10"/>
        <v>0</v>
      </c>
      <c r="M26" s="160">
        <f t="shared" si="10"/>
        <v>0</v>
      </c>
      <c r="N26" s="71">
        <f t="shared" si="10"/>
        <v>-35473.154999999999</v>
      </c>
      <c r="O26" s="71">
        <f t="shared" si="10"/>
        <v>31120.741480000001</v>
      </c>
      <c r="P26" s="160">
        <f t="shared" si="10"/>
        <v>-4352.4135200000019</v>
      </c>
      <c r="Q26" s="71">
        <f>Q24+Q25</f>
        <v>0</v>
      </c>
      <c r="R26" s="71">
        <f>R24+R25</f>
        <v>0</v>
      </c>
      <c r="S26" s="160">
        <f>S24+S25</f>
        <v>0</v>
      </c>
      <c r="T26" s="73"/>
      <c r="U26" s="131">
        <f>U24+U25</f>
        <v>-11827.642400000012</v>
      </c>
      <c r="V26" s="71"/>
      <c r="W26" s="71">
        <f t="shared" ref="W26:AE26" si="11">W24+W25</f>
        <v>-113843.772</v>
      </c>
      <c r="X26" s="71">
        <f t="shared" si="11"/>
        <v>117694.94988</v>
      </c>
      <c r="Y26" s="173">
        <f t="shared" si="11"/>
        <v>3851.1778800000029</v>
      </c>
      <c r="Z26" s="71">
        <f t="shared" si="11"/>
        <v>0</v>
      </c>
      <c r="AA26" s="71">
        <f t="shared" si="11"/>
        <v>0</v>
      </c>
      <c r="AB26" s="173">
        <f t="shared" si="11"/>
        <v>0</v>
      </c>
      <c r="AC26" s="71">
        <f t="shared" si="11"/>
        <v>-771.30400000000009</v>
      </c>
      <c r="AD26" s="71">
        <f t="shared" si="11"/>
        <v>977.66151999999988</v>
      </c>
      <c r="AE26" s="173">
        <f t="shared" si="11"/>
        <v>206.35752000000002</v>
      </c>
      <c r="AF26" s="71">
        <f t="shared" ref="AF26:AK26" si="12">AF24+AF25</f>
        <v>0</v>
      </c>
      <c r="AG26" s="71">
        <f t="shared" si="12"/>
        <v>0</v>
      </c>
      <c r="AH26" s="173">
        <f t="shared" si="12"/>
        <v>0</v>
      </c>
      <c r="AI26" s="71">
        <f t="shared" si="12"/>
        <v>0</v>
      </c>
      <c r="AJ26" s="71">
        <f t="shared" si="12"/>
        <v>0</v>
      </c>
      <c r="AK26" s="173">
        <f t="shared" si="12"/>
        <v>0</v>
      </c>
      <c r="AL26" s="73"/>
      <c r="AM26" s="141">
        <f>AM24+AM25</f>
        <v>4057.5353999999643</v>
      </c>
      <c r="AN26" s="70"/>
      <c r="AO26" s="71">
        <f t="shared" ref="AO26:AZ26" si="13">AO24+AO25</f>
        <v>0</v>
      </c>
      <c r="AP26" s="71">
        <f t="shared" si="13"/>
        <v>0</v>
      </c>
      <c r="AQ26" s="72">
        <f t="shared" si="13"/>
        <v>0</v>
      </c>
      <c r="AR26" s="71">
        <f t="shared" si="13"/>
        <v>0</v>
      </c>
      <c r="AS26" s="71">
        <f t="shared" si="13"/>
        <v>0</v>
      </c>
      <c r="AT26" s="72">
        <f t="shared" si="13"/>
        <v>0</v>
      </c>
      <c r="AU26" s="71">
        <f t="shared" si="13"/>
        <v>0</v>
      </c>
      <c r="AV26" s="71">
        <f t="shared" si="13"/>
        <v>0</v>
      </c>
      <c r="AW26" s="72">
        <f t="shared" si="13"/>
        <v>0</v>
      </c>
      <c r="AX26" s="71">
        <f t="shared" si="13"/>
        <v>2380.7750000000001</v>
      </c>
      <c r="AY26" s="71">
        <f t="shared" si="13"/>
        <v>0</v>
      </c>
      <c r="AZ26" s="72">
        <f t="shared" si="13"/>
        <v>2380.7750000000001</v>
      </c>
      <c r="BA26" s="71">
        <f t="shared" ref="BA26:BI26" si="14">BA24+BA25</f>
        <v>0</v>
      </c>
      <c r="BB26" s="71">
        <f t="shared" si="14"/>
        <v>0</v>
      </c>
      <c r="BC26" s="72">
        <f t="shared" si="14"/>
        <v>0</v>
      </c>
      <c r="BD26" s="71">
        <f t="shared" si="14"/>
        <v>0</v>
      </c>
      <c r="BE26" s="71">
        <f t="shared" si="14"/>
        <v>0</v>
      </c>
      <c r="BF26" s="72">
        <f t="shared" si="14"/>
        <v>0</v>
      </c>
      <c r="BG26" s="71">
        <f t="shared" si="14"/>
        <v>0</v>
      </c>
      <c r="BH26" s="71">
        <f t="shared" si="14"/>
        <v>0</v>
      </c>
      <c r="BI26" s="72">
        <f t="shared" si="14"/>
        <v>0</v>
      </c>
      <c r="BJ26" s="73">
        <f>BJ24</f>
        <v>0</v>
      </c>
      <c r="BK26" s="131">
        <f>BK24+BK25</f>
        <v>2380.7749999999996</v>
      </c>
      <c r="BL26" s="70"/>
      <c r="BM26" s="71">
        <f>BM24+BM25</f>
        <v>0</v>
      </c>
      <c r="BN26" s="71">
        <f>BN24+BN25</f>
        <v>0</v>
      </c>
      <c r="BO26" s="72">
        <f>BO24+BO25</f>
        <v>0</v>
      </c>
      <c r="BP26" s="70"/>
      <c r="BQ26" s="69">
        <f>BQ24+BQ25</f>
        <v>8.1854523159563541E-11</v>
      </c>
    </row>
    <row r="27" spans="1:69" ht="13.5" thickBot="1" x14ac:dyDescent="0.25">
      <c r="D27" s="11"/>
      <c r="E27" s="12"/>
      <c r="F27" s="149"/>
      <c r="G27" s="44"/>
      <c r="H27" s="45"/>
      <c r="I27" s="211"/>
      <c r="J27" s="156"/>
      <c r="K27" s="45"/>
      <c r="L27" s="45"/>
      <c r="M27" s="156"/>
      <c r="N27" s="45"/>
      <c r="O27" s="45"/>
      <c r="P27" s="156"/>
      <c r="Q27" s="45"/>
      <c r="R27" s="45"/>
      <c r="S27" s="156"/>
      <c r="T27" s="45"/>
      <c r="U27" s="132"/>
      <c r="V27" s="45"/>
      <c r="W27" s="45"/>
      <c r="X27" s="45"/>
      <c r="Y27" s="169"/>
      <c r="Z27" s="45"/>
      <c r="AA27" s="45"/>
      <c r="AB27" s="169"/>
      <c r="AC27" s="45"/>
      <c r="AD27" s="45"/>
      <c r="AE27" s="169"/>
      <c r="AF27" s="45"/>
      <c r="AG27" s="45"/>
      <c r="AH27" s="169"/>
      <c r="AI27" s="45"/>
      <c r="AJ27" s="45"/>
      <c r="AK27" s="169"/>
      <c r="AL27" s="45"/>
      <c r="AM27" s="142"/>
      <c r="AN27" s="45"/>
      <c r="AO27" s="45"/>
      <c r="AP27" s="45"/>
      <c r="AQ27" s="51"/>
      <c r="AR27" s="45"/>
      <c r="AS27" s="45"/>
      <c r="AT27" s="51"/>
      <c r="AU27" s="45"/>
      <c r="AV27" s="45"/>
      <c r="AW27" s="51"/>
      <c r="AX27" s="45"/>
      <c r="AY27" s="45"/>
      <c r="AZ27" s="51"/>
      <c r="BA27" s="45"/>
      <c r="BB27" s="45"/>
      <c r="BC27" s="51"/>
      <c r="BD27" s="45"/>
      <c r="BE27" s="45"/>
      <c r="BF27" s="51"/>
      <c r="BG27" s="45"/>
      <c r="BH27" s="45"/>
      <c r="BI27" s="51"/>
      <c r="BJ27" s="45"/>
      <c r="BK27" s="132"/>
      <c r="BL27" s="81"/>
      <c r="BM27" s="45"/>
      <c r="BN27" s="45"/>
      <c r="BO27" s="51"/>
      <c r="BP27" s="81"/>
      <c r="BQ27" s="74"/>
    </row>
    <row r="28" spans="1:69" ht="13.5" thickTop="1" x14ac:dyDescent="0.2">
      <c r="J28" s="45"/>
    </row>
    <row r="29" spans="1:69" x14ac:dyDescent="0.2">
      <c r="A29" s="4" t="s">
        <v>94</v>
      </c>
      <c r="B29" s="4" t="s">
        <v>95</v>
      </c>
      <c r="C29" s="4" t="s">
        <v>96</v>
      </c>
      <c r="D29" s="4" t="s">
        <v>97</v>
      </c>
    </row>
    <row r="30" spans="1:69" x14ac:dyDescent="0.2">
      <c r="A30" s="222">
        <v>0.46</v>
      </c>
      <c r="B30" s="222">
        <v>0.54</v>
      </c>
      <c r="C30" s="221">
        <f>148593908-3146000</f>
        <v>145447908</v>
      </c>
      <c r="D30" s="4" t="s">
        <v>98</v>
      </c>
      <c r="I30" s="221">
        <f>C30*A30/1000</f>
        <v>66906.037679999994</v>
      </c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18"/>
      <c r="X30" s="221">
        <f>C30*B30/1000</f>
        <v>78541.870320000002</v>
      </c>
      <c r="Y30" s="220"/>
      <c r="Z30" s="220"/>
      <c r="AA30" s="220"/>
      <c r="AB30" s="220"/>
      <c r="AC30" s="220"/>
      <c r="AD30" s="220"/>
    </row>
    <row r="31" spans="1:69" x14ac:dyDescent="0.2">
      <c r="A31" s="222">
        <v>0.46</v>
      </c>
      <c r="B31" s="222">
        <v>0.54</v>
      </c>
      <c r="C31" s="221">
        <v>75111649</v>
      </c>
      <c r="D31" s="4" t="s">
        <v>99</v>
      </c>
      <c r="I31" s="221">
        <f>C31*A31/1000</f>
        <v>34551.358540000001</v>
      </c>
      <c r="J31" s="220"/>
      <c r="K31" s="220"/>
      <c r="L31" s="220"/>
      <c r="M31" s="220"/>
      <c r="N31" s="220"/>
      <c r="O31" s="218"/>
      <c r="P31" s="220"/>
      <c r="Q31" s="220"/>
      <c r="R31" s="220"/>
      <c r="S31" s="220"/>
      <c r="T31" s="220"/>
      <c r="U31" s="220"/>
      <c r="V31" s="220"/>
      <c r="W31" s="220"/>
      <c r="X31" s="221">
        <f>C31*B31/1000</f>
        <v>40560.290460000004</v>
      </c>
      <c r="Y31" s="220"/>
      <c r="Z31" s="220"/>
      <c r="AA31" s="218"/>
      <c r="AB31" s="220"/>
      <c r="AC31" s="220"/>
      <c r="AD31" s="220"/>
    </row>
    <row r="32" spans="1:69" x14ac:dyDescent="0.2">
      <c r="A32" s="222">
        <v>0.97</v>
      </c>
      <c r="B32" s="222">
        <v>0.03</v>
      </c>
      <c r="C32" s="221">
        <v>32322584</v>
      </c>
      <c r="D32" s="4" t="s">
        <v>100</v>
      </c>
      <c r="I32" s="218"/>
      <c r="J32" s="220"/>
      <c r="K32" s="220"/>
      <c r="L32" s="220"/>
      <c r="M32" s="220"/>
      <c r="N32" s="220"/>
      <c r="O32" s="221">
        <f>C32*A32/1000</f>
        <v>31352.906480000001</v>
      </c>
      <c r="P32" s="220"/>
      <c r="Q32" s="220"/>
      <c r="R32" s="220"/>
      <c r="S32" s="220"/>
      <c r="T32" s="220"/>
      <c r="U32" s="220"/>
      <c r="V32" s="220"/>
      <c r="W32" s="220"/>
      <c r="X32" s="218"/>
      <c r="Y32" s="220"/>
      <c r="Z32" s="220"/>
      <c r="AA32" s="220"/>
      <c r="AB32" s="220"/>
      <c r="AC32" s="220"/>
      <c r="AD32" s="221">
        <f>C32*B32/1000</f>
        <v>969.67752000000007</v>
      </c>
    </row>
    <row r="33" spans="1:30" x14ac:dyDescent="0.2">
      <c r="A33" s="208"/>
      <c r="B33" s="208"/>
      <c r="C33" s="221">
        <v>4901782</v>
      </c>
      <c r="D33" s="4" t="s">
        <v>101</v>
      </c>
      <c r="I33" s="221">
        <f>1748403/1000</f>
        <v>1748.403</v>
      </c>
      <c r="J33" s="220"/>
      <c r="K33" s="223"/>
      <c r="L33" s="220"/>
      <c r="M33" s="220"/>
      <c r="N33" s="220"/>
      <c r="O33" s="221">
        <f>1730069/1000</f>
        <v>1730.069</v>
      </c>
      <c r="P33" s="220"/>
      <c r="Q33" s="220"/>
      <c r="R33" s="220"/>
      <c r="S33" s="220"/>
      <c r="T33" s="220"/>
      <c r="U33" s="220"/>
      <c r="V33" s="220"/>
      <c r="W33" s="220"/>
      <c r="X33" s="221">
        <f>1309581/1000</f>
        <v>1309.5809999999999</v>
      </c>
      <c r="Y33" s="220"/>
      <c r="Z33" s="220"/>
      <c r="AA33" s="220"/>
      <c r="AB33" s="220"/>
      <c r="AC33" s="220"/>
      <c r="AD33" s="221">
        <f>113729/1000</f>
        <v>113.729</v>
      </c>
    </row>
    <row r="34" spans="1:30" x14ac:dyDescent="0.2">
      <c r="A34" s="208"/>
      <c r="B34" s="208"/>
      <c r="C34" s="221">
        <v>-3667520</v>
      </c>
      <c r="D34" s="4" t="s">
        <v>102</v>
      </c>
      <c r="I34" s="221">
        <f>-1308158/1000</f>
        <v>-1308.1579999999999</v>
      </c>
      <c r="J34" s="220"/>
      <c r="K34" s="220"/>
      <c r="L34" s="220"/>
      <c r="M34" s="220"/>
      <c r="N34" s="220"/>
      <c r="O34" s="221">
        <f>-1294440/1000</f>
        <v>-1294.44</v>
      </c>
      <c r="P34" s="220"/>
      <c r="Q34" s="220"/>
      <c r="R34" s="220"/>
      <c r="S34" s="220"/>
      <c r="T34" s="220"/>
      <c r="U34" s="220"/>
      <c r="V34" s="220"/>
      <c r="W34" s="220"/>
      <c r="X34" s="221">
        <f>-979830/1000</f>
        <v>-979.83</v>
      </c>
      <c r="Y34" s="220"/>
      <c r="Z34" s="220"/>
      <c r="AA34" s="220"/>
      <c r="AB34" s="220"/>
      <c r="AC34" s="220"/>
      <c r="AD34" s="221">
        <f>-85092/1000</f>
        <v>-85.091999999999999</v>
      </c>
    </row>
    <row r="35" spans="1:30" x14ac:dyDescent="0.2">
      <c r="A35" s="222">
        <v>0.97</v>
      </c>
      <c r="B35" s="222">
        <v>0.03</v>
      </c>
      <c r="C35" s="221">
        <v>-1099000</v>
      </c>
      <c r="D35" s="4" t="s">
        <v>103</v>
      </c>
      <c r="I35" s="218"/>
      <c r="J35" s="220"/>
      <c r="K35" s="220"/>
      <c r="L35" s="220"/>
      <c r="M35" s="220"/>
      <c r="N35" s="220"/>
      <c r="O35" s="218"/>
      <c r="P35" s="220"/>
      <c r="Q35" s="220"/>
      <c r="R35" s="220"/>
      <c r="S35" s="220"/>
      <c r="T35" s="220"/>
      <c r="U35" s="220"/>
      <c r="V35" s="220"/>
      <c r="W35" s="220"/>
      <c r="X35" s="218"/>
      <c r="Y35" s="220"/>
      <c r="Z35" s="220"/>
      <c r="AA35" s="220"/>
      <c r="AB35" s="220"/>
      <c r="AC35" s="220"/>
      <c r="AD35" s="218"/>
    </row>
    <row r="36" spans="1:30" x14ac:dyDescent="0.2">
      <c r="A36" s="222">
        <v>0.97</v>
      </c>
      <c r="B36" s="222">
        <v>0.03</v>
      </c>
      <c r="C36" s="224">
        <v>3479775</v>
      </c>
      <c r="D36" s="4" t="s">
        <v>104</v>
      </c>
      <c r="I36" s="218"/>
      <c r="J36" s="220"/>
      <c r="K36" s="220"/>
      <c r="L36" s="220"/>
      <c r="M36" s="220"/>
      <c r="N36" s="220"/>
      <c r="O36" s="218"/>
      <c r="P36" s="220"/>
      <c r="Q36" s="220"/>
      <c r="R36" s="220"/>
      <c r="S36" s="220"/>
      <c r="T36" s="220"/>
      <c r="U36" s="220"/>
      <c r="V36" s="220"/>
      <c r="W36" s="220"/>
      <c r="X36" s="218"/>
      <c r="Y36" s="220"/>
      <c r="Z36" s="220"/>
      <c r="AA36" s="220"/>
      <c r="AB36" s="220"/>
      <c r="AC36" s="220"/>
      <c r="AD36" s="218"/>
    </row>
    <row r="37" spans="1:30" x14ac:dyDescent="0.2">
      <c r="A37" s="222">
        <v>0.46</v>
      </c>
      <c r="B37" s="222">
        <v>0.54</v>
      </c>
      <c r="C37" s="233">
        <v>-829262</v>
      </c>
      <c r="D37" s="4" t="s">
        <v>105</v>
      </c>
      <c r="I37" s="221">
        <f>C37*A37/1000</f>
        <v>-381.46052000000003</v>
      </c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1">
        <f>C37*B37/1000</f>
        <v>-447.80148000000003</v>
      </c>
      <c r="Y37" s="220"/>
      <c r="Z37" s="220"/>
      <c r="AA37" s="220"/>
      <c r="AB37" s="220"/>
      <c r="AC37" s="220"/>
      <c r="AD37" s="220"/>
    </row>
    <row r="38" spans="1:30" x14ac:dyDescent="0.2">
      <c r="A38" s="222">
        <v>0.46</v>
      </c>
      <c r="B38" s="222">
        <v>0.54</v>
      </c>
      <c r="C38" s="224">
        <v>829270</v>
      </c>
      <c r="D38" s="4" t="s">
        <v>106</v>
      </c>
      <c r="I38" s="221">
        <f>C38*A38/1000</f>
        <v>381.46420000000001</v>
      </c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1">
        <f>C38*B38/1000</f>
        <v>447.80580000000003</v>
      </c>
      <c r="Y38" s="220"/>
      <c r="Z38" s="220"/>
      <c r="AA38" s="220"/>
      <c r="AB38" s="220"/>
      <c r="AC38" s="220"/>
      <c r="AD38" s="220"/>
    </row>
    <row r="39" spans="1:30" hidden="1" x14ac:dyDescent="0.2">
      <c r="A39" s="222">
        <v>0.42</v>
      </c>
      <c r="B39" s="222">
        <v>0.57999999999999996</v>
      </c>
      <c r="C39" s="219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18"/>
      <c r="Y39" s="220"/>
      <c r="Z39" s="220"/>
      <c r="AA39" s="220"/>
      <c r="AB39" s="220"/>
      <c r="AC39" s="220"/>
      <c r="AD39" s="220"/>
    </row>
    <row r="40" spans="1:30" hidden="1" x14ac:dyDescent="0.2">
      <c r="A40" s="222">
        <v>0.42</v>
      </c>
      <c r="B40" s="222">
        <v>0.57999999999999996</v>
      </c>
      <c r="C40" s="219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18"/>
      <c r="Y40" s="220"/>
      <c r="Z40" s="220"/>
      <c r="AA40" s="220"/>
      <c r="AB40" s="220"/>
      <c r="AC40" s="220"/>
      <c r="AD40" s="220"/>
    </row>
    <row r="41" spans="1:30" x14ac:dyDescent="0.2">
      <c r="A41" s="222">
        <v>0.46</v>
      </c>
      <c r="B41" s="222">
        <v>0.54</v>
      </c>
      <c r="C41" s="224">
        <v>-1396000</v>
      </c>
      <c r="D41" s="232" t="s">
        <v>107</v>
      </c>
      <c r="I41" s="221">
        <f>C41*A41/1000</f>
        <v>-642.16</v>
      </c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1">
        <f>C41*B41/1000</f>
        <v>-753.84</v>
      </c>
      <c r="Y41" s="220"/>
      <c r="Z41" s="220"/>
      <c r="AA41" s="220"/>
      <c r="AB41" s="220"/>
      <c r="AC41" s="220"/>
      <c r="AD41" s="220"/>
    </row>
    <row r="42" spans="1:30" x14ac:dyDescent="0.2">
      <c r="A42" s="222">
        <v>0.46</v>
      </c>
      <c r="B42" s="222">
        <v>0.54</v>
      </c>
      <c r="C42" s="224">
        <v>1314805</v>
      </c>
      <c r="D42" s="232" t="s">
        <v>108</v>
      </c>
      <c r="I42" s="221">
        <f>C42*A42/1000</f>
        <v>604.8103000000001</v>
      </c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1">
        <f>C42*B42/1000</f>
        <v>709.99470000000008</v>
      </c>
      <c r="Y42" s="220"/>
      <c r="Z42" s="220"/>
      <c r="AA42" s="220"/>
      <c r="AB42" s="220"/>
      <c r="AC42" s="220"/>
      <c r="AD42" s="220"/>
    </row>
    <row r="43" spans="1:30" x14ac:dyDescent="0.2">
      <c r="A43" s="222">
        <v>0.46</v>
      </c>
      <c r="B43" s="222">
        <v>0.54</v>
      </c>
      <c r="C43" s="224">
        <v>-815000</v>
      </c>
      <c r="D43" s="4" t="s">
        <v>109</v>
      </c>
      <c r="I43" s="221">
        <f>SUM((C43*A43)/1000)</f>
        <v>-374.9</v>
      </c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1">
        <f>SUM((C43*B43)/1000)</f>
        <v>-440.1</v>
      </c>
      <c r="Y43" s="220"/>
      <c r="Z43" s="220"/>
      <c r="AA43" s="220"/>
      <c r="AB43" s="220"/>
      <c r="AC43" s="220"/>
      <c r="AD43" s="220"/>
    </row>
    <row r="44" spans="1:30" x14ac:dyDescent="0.2">
      <c r="A44" s="222">
        <v>0.46</v>
      </c>
      <c r="B44" s="222">
        <v>0.54</v>
      </c>
      <c r="C44" s="224">
        <v>717052</v>
      </c>
      <c r="D44" s="4" t="s">
        <v>109</v>
      </c>
      <c r="I44" s="221">
        <f>SUM((C44*A44)/1000)</f>
        <v>329.84392000000003</v>
      </c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1">
        <f>SUM((C44*B44)/1000)</f>
        <v>387.20808</v>
      </c>
      <c r="Y44" s="220"/>
      <c r="Z44" s="220"/>
      <c r="AA44" s="220"/>
      <c r="AB44" s="220"/>
      <c r="AC44" s="220"/>
      <c r="AD44" s="220"/>
    </row>
    <row r="45" spans="1:30" x14ac:dyDescent="0.2">
      <c r="A45" s="220"/>
      <c r="B45" s="220"/>
      <c r="C45" s="224">
        <v>-11483335</v>
      </c>
      <c r="D45" s="4" t="s">
        <v>110</v>
      </c>
      <c r="I45" s="227">
        <v>-4784.1400000000003</v>
      </c>
      <c r="J45" s="220"/>
      <c r="K45" s="220"/>
      <c r="L45" s="220"/>
      <c r="M45" s="220"/>
      <c r="N45" s="220"/>
      <c r="O45" s="227">
        <v>-957.02800000000002</v>
      </c>
      <c r="P45" s="220"/>
      <c r="Q45" s="220"/>
      <c r="R45" s="220"/>
      <c r="S45" s="220"/>
      <c r="T45" s="220"/>
      <c r="U45" s="220"/>
      <c r="V45" s="220"/>
      <c r="W45" s="220"/>
      <c r="X45" s="227">
        <v>-4785.1400000000003</v>
      </c>
      <c r="Y45" s="220"/>
      <c r="Z45" s="220"/>
      <c r="AA45" s="220"/>
      <c r="AB45" s="220"/>
      <c r="AC45" s="220"/>
      <c r="AD45" s="227">
        <v>-957.02800000000002</v>
      </c>
    </row>
    <row r="46" spans="1:30" x14ac:dyDescent="0.2">
      <c r="A46" s="220"/>
      <c r="B46" s="220"/>
      <c r="C46" s="224">
        <v>11483335</v>
      </c>
      <c r="D46" s="4" t="s">
        <v>111</v>
      </c>
      <c r="I46" s="227">
        <v>4784.1400000000003</v>
      </c>
      <c r="J46" s="220"/>
      <c r="K46" s="220"/>
      <c r="L46" s="220"/>
      <c r="M46" s="220"/>
      <c r="N46" s="220"/>
      <c r="O46" s="227">
        <v>957.02800000000002</v>
      </c>
      <c r="P46" s="220"/>
      <c r="Q46" s="220"/>
      <c r="R46" s="220"/>
      <c r="S46" s="220"/>
      <c r="T46" s="220"/>
      <c r="U46" s="220"/>
      <c r="V46" s="220"/>
      <c r="W46" s="220"/>
      <c r="X46" s="227">
        <v>4785.1400000000003</v>
      </c>
      <c r="Y46" s="220"/>
      <c r="Z46" s="220"/>
      <c r="AA46" s="220"/>
      <c r="AB46" s="220"/>
      <c r="AC46" s="220"/>
      <c r="AD46" s="227">
        <v>957.02800000000002</v>
      </c>
    </row>
    <row r="47" spans="1:30" ht="29.25" customHeight="1" x14ac:dyDescent="0.2">
      <c r="A47" s="236" t="s">
        <v>112</v>
      </c>
      <c r="B47" s="236"/>
      <c r="C47" s="234">
        <f>1859000-1859000</f>
        <v>0</v>
      </c>
      <c r="D47" s="228" t="s">
        <v>113</v>
      </c>
      <c r="I47" s="227">
        <f>757.563-757.563</f>
        <v>0</v>
      </c>
      <c r="O47" s="227">
        <f>210.197-210.197</f>
        <v>0</v>
      </c>
      <c r="X47" s="227">
        <f>884.335-884.335</f>
        <v>0</v>
      </c>
      <c r="AD47" s="227">
        <f>6.904-6.904</f>
        <v>0</v>
      </c>
    </row>
    <row r="48" spans="1:30" ht="25.5" customHeight="1" x14ac:dyDescent="0.2">
      <c r="A48" s="222">
        <v>1</v>
      </c>
      <c r="B48" s="217"/>
      <c r="C48" s="233">
        <v>-5225019</v>
      </c>
      <c r="D48" s="228" t="s">
        <v>114</v>
      </c>
      <c r="K48" s="227">
        <f>C48*A48/1000</f>
        <v>-5225.0190000000002</v>
      </c>
      <c r="X48" s="227"/>
    </row>
    <row r="49" spans="1:30" ht="25.5" x14ac:dyDescent="0.2">
      <c r="A49" s="236" t="s">
        <v>112</v>
      </c>
      <c r="B49" s="236"/>
      <c r="C49" s="234">
        <f>-827000+827000</f>
        <v>0</v>
      </c>
      <c r="D49" s="228" t="s">
        <v>115</v>
      </c>
      <c r="I49" s="227"/>
      <c r="O49" s="227"/>
      <c r="X49" s="227">
        <f>-807+807</f>
        <v>0</v>
      </c>
      <c r="AD49" s="227">
        <f>-20+20</f>
        <v>0</v>
      </c>
    </row>
    <row r="50" spans="1:30" ht="25.5" x14ac:dyDescent="0.2">
      <c r="A50" s="222">
        <v>0.46</v>
      </c>
      <c r="B50" s="222">
        <v>0.54</v>
      </c>
      <c r="C50" s="234">
        <f>-399000+399000</f>
        <v>0</v>
      </c>
      <c r="D50" s="228" t="s">
        <v>116</v>
      </c>
      <c r="H50" s="227"/>
      <c r="I50" s="231">
        <f>C50*A50/1000</f>
        <v>0</v>
      </c>
      <c r="X50" s="227">
        <f>C50*B50/1000</f>
        <v>0</v>
      </c>
    </row>
    <row r="51" spans="1:30" ht="25.5" x14ac:dyDescent="0.2">
      <c r="A51" s="222">
        <v>0.46</v>
      </c>
      <c r="B51" s="222">
        <v>0.54</v>
      </c>
      <c r="C51" s="224"/>
      <c r="D51" s="228" t="s">
        <v>117</v>
      </c>
      <c r="H51" s="227"/>
      <c r="I51" s="230">
        <f>C51*A51/1000</f>
        <v>0</v>
      </c>
      <c r="X51" s="227">
        <f>C51*B51/1000</f>
        <v>0</v>
      </c>
    </row>
    <row r="52" spans="1:30" x14ac:dyDescent="0.2">
      <c r="A52" s="222">
        <v>1</v>
      </c>
      <c r="C52" s="224">
        <v>-53981</v>
      </c>
      <c r="H52" s="227"/>
      <c r="I52" s="231">
        <f>C52*A52/1000</f>
        <v>-53.981000000000002</v>
      </c>
    </row>
  </sheetData>
  <mergeCells count="3">
    <mergeCell ref="H4:U4"/>
    <mergeCell ref="A47:B47"/>
    <mergeCell ref="A49:B49"/>
  </mergeCells>
  <phoneticPr fontId="5" type="noConversion"/>
  <pageMargins left="0.48" right="0.28000000000000003" top="0.46" bottom="1" header="0.27" footer="0.5"/>
  <pageSetup paperSize="9" scale="7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Q50"/>
  <sheetViews>
    <sheetView tabSelected="1" topLeftCell="A9" zoomScale="70" zoomScaleNormal="70" workbookViewId="0">
      <selection activeCell="U25" sqref="U25"/>
    </sheetView>
  </sheetViews>
  <sheetFormatPr defaultRowHeight="12.75" x14ac:dyDescent="0.2"/>
  <cols>
    <col min="1" max="1" width="38" customWidth="1"/>
    <col min="2" max="2" width="9.85546875" customWidth="1"/>
    <col min="3" max="3" width="15.140625" customWidth="1"/>
    <col min="4" max="4" width="17.140625" customWidth="1"/>
    <col min="5" max="5" width="25.140625" bestFit="1" customWidth="1"/>
    <col min="6" max="6" width="34.5703125" customWidth="1"/>
    <col min="7" max="7" width="10.7109375" customWidth="1"/>
    <col min="8" max="8" width="9.140625" customWidth="1"/>
    <col min="9" max="9" width="14.140625" hidden="1" customWidth="1"/>
    <col min="10" max="10" width="20.5703125" hidden="1" customWidth="1"/>
    <col min="11" max="11" width="20" hidden="1" customWidth="1"/>
    <col min="12" max="13" width="19" hidden="1" customWidth="1"/>
    <col min="14" max="14" width="12.42578125" hidden="1" customWidth="1"/>
    <col min="15" max="15" width="16" hidden="1" customWidth="1"/>
    <col min="16" max="16" width="11.42578125" customWidth="1"/>
    <col min="17" max="17" width="12.5703125" customWidth="1"/>
  </cols>
  <sheetData>
    <row r="2" spans="1:7" ht="18" x14ac:dyDescent="0.25">
      <c r="A2" s="28" t="s">
        <v>118</v>
      </c>
    </row>
    <row r="3" spans="1:7" ht="15.75" x14ac:dyDescent="0.25">
      <c r="A3" s="6" t="s">
        <v>119</v>
      </c>
    </row>
    <row r="4" spans="1:7" ht="8.25" customHeight="1" thickBot="1" x14ac:dyDescent="0.25">
      <c r="A4" s="84"/>
    </row>
    <row r="5" spans="1:7" ht="39" x14ac:dyDescent="0.2">
      <c r="A5" s="237" t="s">
        <v>16</v>
      </c>
      <c r="B5" s="101" t="s">
        <v>120</v>
      </c>
      <c r="C5" s="237" t="s">
        <v>121</v>
      </c>
      <c r="D5" s="101" t="s">
        <v>122</v>
      </c>
      <c r="E5" s="101" t="s">
        <v>93</v>
      </c>
      <c r="F5" s="103"/>
      <c r="G5" s="104"/>
    </row>
    <row r="6" spans="1:7" ht="20.25" customHeight="1" thickBot="1" x14ac:dyDescent="0.25">
      <c r="A6" s="238"/>
      <c r="B6" s="116" t="s">
        <v>123</v>
      </c>
      <c r="C6" s="238"/>
      <c r="D6" s="116"/>
      <c r="E6" s="116"/>
      <c r="F6" s="105"/>
      <c r="G6" s="106"/>
    </row>
    <row r="7" spans="1:7" ht="20.25" thickBot="1" x14ac:dyDescent="0.25">
      <c r="A7" s="216" t="s">
        <v>124</v>
      </c>
      <c r="B7" s="25"/>
      <c r="C7" s="29"/>
      <c r="D7" s="29"/>
      <c r="E7" s="29"/>
      <c r="F7" s="107"/>
      <c r="G7" s="108"/>
    </row>
    <row r="8" spans="1:7" ht="16.5" thickBot="1" x14ac:dyDescent="0.25">
      <c r="A8" s="26"/>
      <c r="B8" s="25"/>
      <c r="C8" s="29"/>
      <c r="D8" s="29"/>
      <c r="E8" s="29"/>
      <c r="F8" s="109"/>
      <c r="G8" s="108"/>
    </row>
    <row r="9" spans="1:7" ht="16.5" thickBot="1" x14ac:dyDescent="0.25">
      <c r="A9" s="26" t="s">
        <v>24</v>
      </c>
      <c r="B9" s="27"/>
      <c r="C9" s="30"/>
      <c r="D9" s="30"/>
      <c r="E9" s="30"/>
      <c r="F9" s="110"/>
      <c r="G9" s="111"/>
    </row>
    <row r="10" spans="1:7" ht="15.75" x14ac:dyDescent="0.2">
      <c r="A10" s="1" t="s">
        <v>125</v>
      </c>
      <c r="B10" s="27" t="s">
        <v>126</v>
      </c>
      <c r="C10" s="93">
        <v>118846</v>
      </c>
      <c r="D10" s="93">
        <v>111371</v>
      </c>
      <c r="E10" s="93">
        <f>C10-D10</f>
        <v>7475</v>
      </c>
      <c r="F10" s="112"/>
      <c r="G10" s="113"/>
    </row>
    <row r="11" spans="1:7" ht="18.75" customHeight="1" x14ac:dyDescent="0.2">
      <c r="A11" s="1" t="s">
        <v>127</v>
      </c>
      <c r="B11" s="27" t="s">
        <v>128</v>
      </c>
      <c r="C11" s="93">
        <v>5225</v>
      </c>
      <c r="D11" s="93">
        <v>5225</v>
      </c>
      <c r="E11" s="93">
        <f>C11-D11</f>
        <v>0</v>
      </c>
      <c r="F11" s="112"/>
      <c r="G11" s="113"/>
    </row>
    <row r="12" spans="1:7" ht="24" customHeight="1" x14ac:dyDescent="0.2">
      <c r="A12" s="1" t="s">
        <v>129</v>
      </c>
      <c r="B12" s="27" t="s">
        <v>128</v>
      </c>
      <c r="C12" s="93">
        <v>39821</v>
      </c>
      <c r="D12" s="93">
        <v>35469</v>
      </c>
      <c r="E12" s="93">
        <f>C12-D12</f>
        <v>4352</v>
      </c>
      <c r="F12" s="112"/>
      <c r="G12" s="113"/>
    </row>
    <row r="13" spans="1:7" ht="31.5" x14ac:dyDescent="0.2">
      <c r="A13" s="1" t="s">
        <v>34</v>
      </c>
      <c r="B13" s="99" t="s">
        <v>128</v>
      </c>
      <c r="C13" s="93">
        <v>952</v>
      </c>
      <c r="D13" s="93">
        <v>952</v>
      </c>
      <c r="E13" s="93">
        <f>C13-D13</f>
        <v>0</v>
      </c>
      <c r="F13" s="112"/>
      <c r="G13" s="113"/>
    </row>
    <row r="14" spans="1:7" ht="16.5" thickBot="1" x14ac:dyDescent="0.25">
      <c r="A14" s="1"/>
      <c r="B14" s="27"/>
      <c r="C14" s="93"/>
      <c r="D14" s="93"/>
      <c r="E14" s="93"/>
      <c r="F14" s="112"/>
      <c r="G14" s="113"/>
    </row>
    <row r="15" spans="1:7" ht="16.5" thickBot="1" x14ac:dyDescent="0.25">
      <c r="A15" s="26" t="s">
        <v>36</v>
      </c>
      <c r="B15" s="27"/>
      <c r="C15" s="93"/>
      <c r="D15" s="93"/>
      <c r="E15" s="93"/>
      <c r="F15" s="112"/>
      <c r="G15" s="113"/>
    </row>
    <row r="16" spans="1:7" ht="15.75" x14ac:dyDescent="0.2">
      <c r="A16" s="1" t="s">
        <v>37</v>
      </c>
      <c r="B16" s="27" t="s">
        <v>126</v>
      </c>
      <c r="C16" s="93">
        <v>133384</v>
      </c>
      <c r="D16" s="93">
        <f>137236-1</f>
        <v>137235</v>
      </c>
      <c r="E16" s="93">
        <f>C16-D16</f>
        <v>-3851</v>
      </c>
      <c r="F16" s="112"/>
      <c r="G16" s="113"/>
    </row>
    <row r="17" spans="1:15" ht="16.5" thickBot="1" x14ac:dyDescent="0.25">
      <c r="A17" s="1" t="s">
        <v>28</v>
      </c>
      <c r="B17" s="27" t="s">
        <v>128</v>
      </c>
      <c r="C17" s="93">
        <v>807</v>
      </c>
      <c r="D17" s="93">
        <v>807</v>
      </c>
      <c r="E17" s="93">
        <f>C17-D17</f>
        <v>0</v>
      </c>
      <c r="F17" s="112"/>
      <c r="G17" s="113"/>
    </row>
    <row r="18" spans="1:15" ht="20.25" customHeight="1" thickBot="1" x14ac:dyDescent="0.25">
      <c r="A18" s="1" t="s">
        <v>129</v>
      </c>
      <c r="B18" s="27" t="s">
        <v>126</v>
      </c>
      <c r="C18" s="93">
        <f>1943+1</f>
        <v>1944</v>
      </c>
      <c r="D18" s="93">
        <v>2150</v>
      </c>
      <c r="E18" s="93">
        <f>C18-D18</f>
        <v>-206</v>
      </c>
      <c r="F18" s="112"/>
      <c r="G18" s="113"/>
    </row>
    <row r="19" spans="1:15" ht="32.25" thickBot="1" x14ac:dyDescent="0.25">
      <c r="A19" s="1" t="s">
        <v>41</v>
      </c>
      <c r="B19" s="27" t="s">
        <v>126</v>
      </c>
      <c r="C19" s="93">
        <v>5247</v>
      </c>
      <c r="D19" s="93">
        <v>5247</v>
      </c>
      <c r="E19" s="93">
        <f>C19-D19</f>
        <v>0</v>
      </c>
      <c r="F19" s="112"/>
      <c r="G19" s="113"/>
      <c r="I19" s="174"/>
      <c r="J19" s="184" t="s">
        <v>130</v>
      </c>
      <c r="K19" s="182"/>
      <c r="L19" s="182"/>
      <c r="M19" s="182"/>
      <c r="N19" s="182"/>
      <c r="O19" s="175"/>
    </row>
    <row r="20" spans="1:15" ht="32.25" thickBot="1" x14ac:dyDescent="0.25">
      <c r="A20" s="1" t="s">
        <v>131</v>
      </c>
      <c r="B20" s="99" t="s">
        <v>128</v>
      </c>
      <c r="C20" s="93">
        <v>364</v>
      </c>
      <c r="D20" s="93">
        <v>364</v>
      </c>
      <c r="E20" s="93">
        <f>C20-D20</f>
        <v>0</v>
      </c>
      <c r="F20" s="112"/>
      <c r="G20" s="113"/>
      <c r="I20" s="188"/>
      <c r="J20" s="185" t="s">
        <v>132</v>
      </c>
      <c r="K20" s="189" t="s">
        <v>133</v>
      </c>
      <c r="L20" s="185" t="s">
        <v>134</v>
      </c>
      <c r="M20" s="185" t="s">
        <v>135</v>
      </c>
      <c r="O20" s="177"/>
    </row>
    <row r="21" spans="1:15" ht="16.5" thickBot="1" x14ac:dyDescent="0.25">
      <c r="A21" s="1"/>
      <c r="B21" s="27"/>
      <c r="C21" s="93"/>
      <c r="D21" s="93"/>
      <c r="E21" s="93"/>
      <c r="F21" s="112"/>
      <c r="G21" s="113"/>
      <c r="I21" s="178" t="s">
        <v>136</v>
      </c>
      <c r="J21" s="176">
        <v>0</v>
      </c>
      <c r="K21" s="176">
        <v>-36265873</v>
      </c>
      <c r="L21" s="176">
        <v>-36265873</v>
      </c>
      <c r="M21" s="183" t="s">
        <v>137</v>
      </c>
      <c r="O21" s="177"/>
    </row>
    <row r="22" spans="1:15" ht="16.5" thickBot="1" x14ac:dyDescent="0.25">
      <c r="A22" s="26" t="s">
        <v>43</v>
      </c>
      <c r="B22" s="27"/>
      <c r="C22" s="93"/>
      <c r="D22" s="93"/>
      <c r="E22" s="93"/>
      <c r="F22" s="112"/>
      <c r="G22" s="113"/>
      <c r="I22" s="178" t="s">
        <v>138</v>
      </c>
      <c r="J22" s="176">
        <v>-36265873</v>
      </c>
      <c r="K22" s="176">
        <v>-34459873</v>
      </c>
      <c r="L22" s="176">
        <f>K22-J22</f>
        <v>1806000</v>
      </c>
      <c r="O22" s="177"/>
    </row>
    <row r="23" spans="1:15" ht="16.5" thickBot="1" x14ac:dyDescent="0.25">
      <c r="A23" s="1" t="s">
        <v>44</v>
      </c>
      <c r="B23" s="27" t="s">
        <v>128</v>
      </c>
      <c r="C23" s="93"/>
      <c r="D23" s="93"/>
      <c r="E23" s="93">
        <f t="shared" ref="E23:E29" si="0">C23-D23</f>
        <v>0</v>
      </c>
      <c r="F23" s="112"/>
      <c r="G23" s="113"/>
      <c r="I23" s="178" t="s">
        <v>139</v>
      </c>
      <c r="J23" s="176">
        <f>K22</f>
        <v>-34459873</v>
      </c>
      <c r="K23" s="176">
        <v>-37815873</v>
      </c>
      <c r="L23" s="176">
        <f>K23-J23</f>
        <v>-3356000</v>
      </c>
      <c r="O23" s="177"/>
    </row>
    <row r="24" spans="1:15" ht="16.5" thickBot="1" x14ac:dyDescent="0.25">
      <c r="A24" s="1" t="s">
        <v>46</v>
      </c>
      <c r="B24" s="27" t="s">
        <v>128</v>
      </c>
      <c r="C24" s="93">
        <v>3146</v>
      </c>
      <c r="D24" s="93">
        <v>3146</v>
      </c>
      <c r="E24" s="93">
        <f>C24-D24</f>
        <v>0</v>
      </c>
      <c r="F24" s="112"/>
      <c r="G24" s="113"/>
      <c r="I24" s="178" t="s">
        <v>140</v>
      </c>
      <c r="J24" s="176">
        <f>K23</f>
        <v>-37815873</v>
      </c>
      <c r="K24" s="176">
        <v>-37835400</v>
      </c>
      <c r="L24" s="176">
        <f>K24-J24</f>
        <v>-19527</v>
      </c>
      <c r="O24" s="177"/>
    </row>
    <row r="25" spans="1:15" ht="16.5" thickBot="1" x14ac:dyDescent="0.25">
      <c r="A25" s="1" t="s">
        <v>73</v>
      </c>
      <c r="B25" s="27" t="s">
        <v>128</v>
      </c>
      <c r="C25" s="93"/>
      <c r="D25" s="93"/>
      <c r="E25" s="93">
        <f t="shared" si="0"/>
        <v>0</v>
      </c>
      <c r="F25" s="112"/>
      <c r="G25" s="113"/>
      <c r="I25" s="178" t="s">
        <v>141</v>
      </c>
      <c r="J25" s="176">
        <f>K24</f>
        <v>-37835400</v>
      </c>
      <c r="K25" s="176">
        <v>-24435400</v>
      </c>
      <c r="L25" s="176">
        <f>K25-J25</f>
        <v>13400000</v>
      </c>
      <c r="M25" s="183" t="s">
        <v>142</v>
      </c>
      <c r="O25" s="177"/>
    </row>
    <row r="26" spans="1:15" ht="16.5" thickBot="1" x14ac:dyDescent="0.25">
      <c r="A26" s="1" t="s">
        <v>49</v>
      </c>
      <c r="B26" s="27" t="s">
        <v>128</v>
      </c>
      <c r="C26" s="93">
        <v>1099</v>
      </c>
      <c r="D26" s="93">
        <v>3480</v>
      </c>
      <c r="E26" s="93">
        <f t="shared" si="0"/>
        <v>-2381</v>
      </c>
      <c r="F26" s="112"/>
      <c r="G26" s="113"/>
      <c r="I26" s="178" t="s">
        <v>143</v>
      </c>
      <c r="J26" s="176">
        <f>K25</f>
        <v>-24435400</v>
      </c>
      <c r="K26" s="176">
        <v>-28200000</v>
      </c>
      <c r="L26" s="176">
        <f>K26-J26</f>
        <v>-3764600</v>
      </c>
      <c r="M26" s="183" t="s">
        <v>144</v>
      </c>
      <c r="O26" s="177"/>
    </row>
    <row r="27" spans="1:15" ht="31.5" customHeight="1" thickBot="1" x14ac:dyDescent="0.25">
      <c r="A27" s="1" t="s">
        <v>145</v>
      </c>
      <c r="B27" s="27" t="s">
        <v>128</v>
      </c>
      <c r="C27" s="93"/>
      <c r="D27" s="93"/>
      <c r="E27" s="93">
        <f t="shared" si="0"/>
        <v>0</v>
      </c>
      <c r="F27" s="112"/>
      <c r="G27" s="113"/>
      <c r="I27" s="178" t="s">
        <v>146</v>
      </c>
      <c r="J27" s="176">
        <f>K26</f>
        <v>-28200000</v>
      </c>
      <c r="K27" s="176">
        <f>SUM(J27+L27)</f>
        <v>-29735700</v>
      </c>
      <c r="L27" s="176">
        <v>-1535700</v>
      </c>
      <c r="M27" s="239" t="s">
        <v>147</v>
      </c>
      <c r="N27" s="239"/>
      <c r="O27" s="240"/>
    </row>
    <row r="28" spans="1:15" ht="31.5" customHeight="1" thickBot="1" x14ac:dyDescent="0.25">
      <c r="A28" s="83" t="s">
        <v>51</v>
      </c>
      <c r="B28" s="27" t="s">
        <v>128</v>
      </c>
      <c r="C28" s="93"/>
      <c r="D28" s="93"/>
      <c r="E28" s="93">
        <f t="shared" si="0"/>
        <v>0</v>
      </c>
      <c r="F28" s="112"/>
      <c r="G28" s="113"/>
      <c r="I28" s="178" t="s">
        <v>148</v>
      </c>
      <c r="J28" s="176">
        <f>SUM(K27)</f>
        <v>-29735700</v>
      </c>
      <c r="K28" s="176">
        <f>SUM(J28+L28)</f>
        <v>-32670400</v>
      </c>
      <c r="L28" s="206">
        <v>-2934700</v>
      </c>
      <c r="M28" s="239" t="s">
        <v>149</v>
      </c>
      <c r="N28" s="239"/>
      <c r="O28" s="240"/>
    </row>
    <row r="29" spans="1:15" ht="30" customHeight="1" thickBot="1" x14ac:dyDescent="0.25">
      <c r="A29" s="83" t="s">
        <v>51</v>
      </c>
      <c r="B29" s="27" t="s">
        <v>126</v>
      </c>
      <c r="C29" s="93"/>
      <c r="D29" s="93"/>
      <c r="E29" s="93">
        <f t="shared" si="0"/>
        <v>0</v>
      </c>
      <c r="F29" s="112"/>
      <c r="G29" s="113"/>
      <c r="I29" s="179" t="s">
        <v>179</v>
      </c>
      <c r="J29" s="180">
        <f>SUM(K28)</f>
        <v>-32670400</v>
      </c>
      <c r="K29" s="180">
        <f>SUM(J29+L29)</f>
        <v>-35605100</v>
      </c>
      <c r="L29" s="207">
        <v>-2934700</v>
      </c>
      <c r="M29" s="241" t="s">
        <v>180</v>
      </c>
      <c r="N29" s="241"/>
      <c r="O29" s="242"/>
    </row>
    <row r="30" spans="1:15" ht="16.5" thickBot="1" x14ac:dyDescent="0.25">
      <c r="A30" s="1"/>
      <c r="B30" s="27"/>
      <c r="C30" s="93"/>
      <c r="D30" s="93"/>
      <c r="E30" s="93"/>
      <c r="F30" s="112"/>
      <c r="G30" s="113"/>
      <c r="K30" s="213">
        <v>-5389000</v>
      </c>
      <c r="L30" s="212"/>
    </row>
    <row r="31" spans="1:15" ht="16.5" thickBot="1" x14ac:dyDescent="0.25">
      <c r="A31" s="26" t="s">
        <v>150</v>
      </c>
      <c r="B31" s="27"/>
      <c r="C31" s="93"/>
      <c r="D31" s="93"/>
      <c r="E31" s="94">
        <f>SUM(E10:E26)</f>
        <v>5389</v>
      </c>
      <c r="F31" s="112"/>
      <c r="G31" s="113"/>
      <c r="K31" s="214">
        <f>K28+K30</f>
        <v>-38059400</v>
      </c>
    </row>
    <row r="32" spans="1:15" ht="16.5" thickBot="1" x14ac:dyDescent="0.25">
      <c r="A32" s="26"/>
      <c r="B32" s="27"/>
      <c r="C32" s="93"/>
      <c r="D32" s="93"/>
      <c r="E32" s="93"/>
      <c r="F32" s="112"/>
      <c r="G32" s="113"/>
    </row>
    <row r="33" spans="1:17" ht="16.5" thickBot="1" x14ac:dyDescent="0.25">
      <c r="A33" s="26" t="s">
        <v>153</v>
      </c>
      <c r="B33" s="27"/>
      <c r="C33" s="93"/>
      <c r="D33" s="93"/>
      <c r="E33" s="93"/>
      <c r="F33" s="112"/>
      <c r="G33" s="113"/>
      <c r="L33" s="186" t="s">
        <v>151</v>
      </c>
      <c r="M33" s="186" t="s">
        <v>128</v>
      </c>
      <c r="N33" s="186" t="s">
        <v>126</v>
      </c>
      <c r="O33" s="186" t="s">
        <v>152</v>
      </c>
    </row>
    <row r="34" spans="1:17" ht="16.5" thickBot="1" x14ac:dyDescent="0.3">
      <c r="A34" s="1" t="s">
        <v>155</v>
      </c>
      <c r="B34" s="27" t="s">
        <v>126</v>
      </c>
      <c r="C34" s="93"/>
      <c r="D34" s="93"/>
      <c r="E34" s="93">
        <f>C34-D34</f>
        <v>0</v>
      </c>
      <c r="F34" s="112"/>
      <c r="G34" s="113"/>
      <c r="I34" s="193" t="s">
        <v>154</v>
      </c>
      <c r="J34" s="194"/>
      <c r="L34" s="187">
        <v>2012</v>
      </c>
      <c r="M34" s="176">
        <v>-2251</v>
      </c>
      <c r="N34" s="176">
        <v>-5036</v>
      </c>
      <c r="O34" s="196">
        <f>SUM(M34:N34)</f>
        <v>-7287</v>
      </c>
      <c r="P34" s="185"/>
    </row>
    <row r="35" spans="1:17" ht="16.5" thickBot="1" x14ac:dyDescent="0.25">
      <c r="A35" s="1" t="s">
        <v>156</v>
      </c>
      <c r="B35" s="27" t="s">
        <v>126</v>
      </c>
      <c r="C35" s="93"/>
      <c r="D35" s="93"/>
      <c r="E35" s="93">
        <f>C35-D35</f>
        <v>0</v>
      </c>
      <c r="F35" s="112"/>
      <c r="G35" s="113"/>
      <c r="I35">
        <v>2013</v>
      </c>
      <c r="J35" s="197">
        <v>198216</v>
      </c>
      <c r="L35" s="187">
        <v>2013</v>
      </c>
      <c r="M35" s="176">
        <v>304</v>
      </c>
      <c r="N35" s="176">
        <v>-2243</v>
      </c>
      <c r="O35" s="196">
        <f t="shared" ref="O35:O41" si="1">SUM(M35:N35)</f>
        <v>-1939</v>
      </c>
      <c r="P35" s="185"/>
      <c r="Q35" s="185"/>
    </row>
    <row r="36" spans="1:17" ht="16.5" thickBot="1" x14ac:dyDescent="0.25">
      <c r="A36" s="1" t="s">
        <v>157</v>
      </c>
      <c r="B36" s="27" t="s">
        <v>128</v>
      </c>
      <c r="C36" s="93"/>
      <c r="D36" s="93"/>
      <c r="E36" s="93">
        <f>C36-D36</f>
        <v>0</v>
      </c>
      <c r="F36" s="112"/>
      <c r="G36" s="113"/>
      <c r="I36">
        <v>2014</v>
      </c>
      <c r="J36" s="198">
        <v>-1375829</v>
      </c>
      <c r="L36" s="187">
        <v>2014</v>
      </c>
      <c r="M36" s="176">
        <v>742</v>
      </c>
      <c r="N36" s="176">
        <v>611</v>
      </c>
      <c r="O36" s="195">
        <f t="shared" si="1"/>
        <v>1353</v>
      </c>
      <c r="P36" s="191"/>
      <c r="Q36" s="191"/>
    </row>
    <row r="37" spans="1:17" ht="16.5" thickBot="1" x14ac:dyDescent="0.25">
      <c r="A37" s="1" t="s">
        <v>158</v>
      </c>
      <c r="B37" s="27" t="s">
        <v>128</v>
      </c>
      <c r="C37" s="93"/>
      <c r="D37" s="93"/>
      <c r="E37" s="93">
        <f>C37-D37</f>
        <v>0</v>
      </c>
      <c r="F37" s="112"/>
      <c r="G37" s="113"/>
      <c r="I37">
        <v>2015</v>
      </c>
      <c r="J37" s="197">
        <v>283220</v>
      </c>
      <c r="L37" s="187">
        <v>2015</v>
      </c>
      <c r="M37" s="176">
        <v>1353</v>
      </c>
      <c r="N37" s="176">
        <v>-1615.3999999999796</v>
      </c>
      <c r="O37" s="196">
        <f t="shared" si="1"/>
        <v>-262.39999999997963</v>
      </c>
      <c r="P37" s="191"/>
      <c r="Q37" s="191"/>
    </row>
    <row r="38" spans="1:17" ht="16.5" thickBot="1" x14ac:dyDescent="0.25">
      <c r="A38" s="26" t="s">
        <v>159</v>
      </c>
      <c r="B38" s="27"/>
      <c r="C38" s="93"/>
      <c r="D38" s="93"/>
      <c r="E38" s="94">
        <f>SUM(E34:E36)</f>
        <v>0</v>
      </c>
      <c r="F38" s="112"/>
      <c r="G38" s="113"/>
      <c r="I38">
        <v>2016</v>
      </c>
      <c r="J38" s="197">
        <v>13479233</v>
      </c>
      <c r="L38" s="187">
        <v>2016</v>
      </c>
      <c r="M38" s="176">
        <v>2147</v>
      </c>
      <c r="N38" s="176">
        <v>-15628</v>
      </c>
      <c r="O38" s="196">
        <f t="shared" si="1"/>
        <v>-13481</v>
      </c>
      <c r="P38" s="191"/>
      <c r="Q38" s="192"/>
    </row>
    <row r="39" spans="1:17" ht="16.5" thickBot="1" x14ac:dyDescent="0.25">
      <c r="A39" s="1"/>
      <c r="B39" s="27"/>
      <c r="C39" s="93"/>
      <c r="D39" s="93"/>
      <c r="E39" s="93"/>
      <c r="F39" s="114"/>
      <c r="G39" s="115"/>
      <c r="I39">
        <v>2017</v>
      </c>
      <c r="J39" s="198">
        <v>-5741066</v>
      </c>
      <c r="L39" s="187">
        <v>2017</v>
      </c>
      <c r="M39" s="176">
        <v>5396.1999999999971</v>
      </c>
      <c r="N39" s="176">
        <v>344.70000000002892</v>
      </c>
      <c r="O39" s="195">
        <f t="shared" si="1"/>
        <v>5740.900000000026</v>
      </c>
    </row>
    <row r="40" spans="1:17" ht="15.75" customHeight="1" thickBot="1" x14ac:dyDescent="0.25">
      <c r="F40" s="201" t="s">
        <v>160</v>
      </c>
      <c r="G40" s="202"/>
      <c r="H40" s="202"/>
      <c r="I40">
        <v>2018</v>
      </c>
      <c r="J40" s="198">
        <v>-1061829</v>
      </c>
      <c r="L40" s="187">
        <v>2018</v>
      </c>
      <c r="M40" s="176">
        <v>4075</v>
      </c>
      <c r="N40" s="176">
        <v>-3014</v>
      </c>
      <c r="O40" s="195">
        <f t="shared" si="1"/>
        <v>1061</v>
      </c>
    </row>
    <row r="41" spans="1:17" ht="14.25" customHeight="1" thickBot="1" x14ac:dyDescent="0.3">
      <c r="A41" s="31" t="s">
        <v>161</v>
      </c>
      <c r="B41" s="6"/>
      <c r="C41" s="6"/>
      <c r="D41" s="6"/>
      <c r="E41" s="96">
        <f>E31+E38</f>
        <v>5389</v>
      </c>
      <c r="F41" s="102" t="s">
        <v>162</v>
      </c>
      <c r="G41" s="96">
        <f>SUM(G42:G43)</f>
        <v>-6602.4999999999527</v>
      </c>
      <c r="I41">
        <v>2019</v>
      </c>
      <c r="J41" s="198">
        <v>-1591993</v>
      </c>
      <c r="L41" s="187">
        <v>2019</v>
      </c>
      <c r="M41" s="191">
        <v>4706</v>
      </c>
      <c r="N41" s="191">
        <v>-3114</v>
      </c>
      <c r="O41" s="195">
        <f t="shared" si="1"/>
        <v>1592</v>
      </c>
    </row>
    <row r="42" spans="1:17" ht="14.25" customHeight="1" thickBot="1" x14ac:dyDescent="0.3">
      <c r="A42" s="32" t="s">
        <v>163</v>
      </c>
      <c r="B42" s="32" t="s">
        <v>128</v>
      </c>
      <c r="C42" s="97"/>
      <c r="D42" s="98"/>
      <c r="E42" s="96">
        <f>E11+E12+E13+E17+E20+E23+E24+E25+E26+E27+E28+E36+E37</f>
        <v>1971</v>
      </c>
      <c r="F42" s="102" t="s">
        <v>164</v>
      </c>
      <c r="G42" s="100">
        <f>M44</f>
        <v>22291.199999999997</v>
      </c>
      <c r="I42">
        <v>2020</v>
      </c>
      <c r="J42" s="198">
        <v>-1230876</v>
      </c>
      <c r="L42" s="187">
        <v>2020</v>
      </c>
      <c r="M42" s="191">
        <v>3848</v>
      </c>
      <c r="N42" s="191">
        <v>-2617</v>
      </c>
      <c r="O42" s="195">
        <f>SUM(M42:N42)</f>
        <v>1231</v>
      </c>
    </row>
    <row r="43" spans="1:17" ht="14.25" customHeight="1" thickBot="1" x14ac:dyDescent="0.3">
      <c r="A43" s="32" t="s">
        <v>165</v>
      </c>
      <c r="B43" s="32" t="s">
        <v>126</v>
      </c>
      <c r="C43" s="97"/>
      <c r="D43" s="98"/>
      <c r="E43" s="96">
        <f>E10+E16+E18+E19+E29+E34+E35</f>
        <v>3418</v>
      </c>
      <c r="F43" s="102" t="s">
        <v>166</v>
      </c>
      <c r="G43" s="100">
        <f>N44</f>
        <v>-28893.69999999995</v>
      </c>
      <c r="I43">
        <v>2021</v>
      </c>
      <c r="J43" s="198">
        <v>-5389441</v>
      </c>
      <c r="L43" s="187">
        <v>2021</v>
      </c>
      <c r="M43" s="191">
        <v>1971</v>
      </c>
      <c r="N43" s="191">
        <v>3418</v>
      </c>
      <c r="O43" s="195">
        <f>SUM(M43:N43)</f>
        <v>5389</v>
      </c>
    </row>
    <row r="44" spans="1:17" ht="20.25" customHeight="1" x14ac:dyDescent="0.25">
      <c r="A44" s="6"/>
      <c r="B44" s="6"/>
      <c r="C44" s="6"/>
      <c r="D44" s="6"/>
      <c r="E44" s="6"/>
      <c r="F44" s="6"/>
      <c r="G44" s="6"/>
      <c r="M44" s="190">
        <f>SUM(M34:M43)</f>
        <v>22291.199999999997</v>
      </c>
      <c r="N44" s="190">
        <f>SUM(N34:N43)</f>
        <v>-28893.69999999995</v>
      </c>
      <c r="O44" s="190">
        <f>SUM(O34:O43)</f>
        <v>-6602.4999999999527</v>
      </c>
    </row>
    <row r="45" spans="1:17" ht="14.25" customHeight="1" x14ac:dyDescent="0.25">
      <c r="A45" s="6" t="s">
        <v>167</v>
      </c>
      <c r="B45" s="6"/>
      <c r="C45" s="6"/>
      <c r="D45" s="6"/>
      <c r="E45" s="6"/>
      <c r="F45" s="6"/>
      <c r="G45" s="6"/>
    </row>
    <row r="46" spans="1:17" ht="13.5" thickBot="1" x14ac:dyDescent="0.25"/>
    <row r="47" spans="1:17" x14ac:dyDescent="0.2">
      <c r="E47" s="174"/>
      <c r="F47" s="199" t="s">
        <v>181</v>
      </c>
      <c r="G47" s="200"/>
    </row>
    <row r="48" spans="1:17" x14ac:dyDescent="0.2">
      <c r="E48" s="178" t="s">
        <v>168</v>
      </c>
      <c r="F48" s="206">
        <v>32670400</v>
      </c>
      <c r="G48" s="177"/>
    </row>
    <row r="49" spans="5:7" x14ac:dyDescent="0.2">
      <c r="E49" s="178" t="s">
        <v>169</v>
      </c>
      <c r="F49" s="206">
        <v>5389000</v>
      </c>
      <c r="G49" s="177"/>
    </row>
    <row r="50" spans="5:7" ht="13.5" thickBot="1" x14ac:dyDescent="0.25">
      <c r="E50" s="179" t="s">
        <v>170</v>
      </c>
      <c r="F50" s="207">
        <f>F48+F49</f>
        <v>38059400</v>
      </c>
      <c r="G50" s="181"/>
    </row>
  </sheetData>
  <mergeCells count="5">
    <mergeCell ref="A5:A6"/>
    <mergeCell ref="C5:C6"/>
    <mergeCell ref="M27:O27"/>
    <mergeCell ref="M28:O28"/>
    <mergeCell ref="M29:O29"/>
  </mergeCells>
  <phoneticPr fontId="5" type="noConversion"/>
  <pageMargins left="0.38" right="0.16" top="0.6" bottom="0.67" header="0.5" footer="0.5"/>
  <pageSetup paperSize="9" scale="73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G38"/>
  <sheetViews>
    <sheetView workbookViewId="0">
      <selection activeCell="G34" sqref="G34"/>
    </sheetView>
  </sheetViews>
  <sheetFormatPr defaultRowHeight="12.75" x14ac:dyDescent="0.2"/>
  <cols>
    <col min="1" max="1" width="38" customWidth="1"/>
    <col min="2" max="2" width="9.85546875" customWidth="1"/>
    <col min="3" max="3" width="15.140625" customWidth="1"/>
    <col min="4" max="4" width="17.140625" customWidth="1"/>
    <col min="5" max="5" width="10.42578125" customWidth="1"/>
    <col min="6" max="6" width="34.5703125" customWidth="1"/>
    <col min="7" max="7" width="10.7109375" customWidth="1"/>
  </cols>
  <sheetData>
    <row r="2" spans="1:7" ht="18" x14ac:dyDescent="0.25">
      <c r="A2" s="28" t="s">
        <v>118</v>
      </c>
    </row>
    <row r="3" spans="1:7" ht="15.75" x14ac:dyDescent="0.25">
      <c r="A3" s="6" t="s">
        <v>119</v>
      </c>
    </row>
    <row r="4" spans="1:7" ht="8.25" customHeight="1" thickBot="1" x14ac:dyDescent="0.25">
      <c r="A4" s="84"/>
    </row>
    <row r="5" spans="1:7" ht="39" x14ac:dyDescent="0.2">
      <c r="A5" s="237" t="s">
        <v>16</v>
      </c>
      <c r="B5" s="101" t="s">
        <v>120</v>
      </c>
      <c r="C5" s="237" t="s">
        <v>121</v>
      </c>
      <c r="D5" s="101" t="s">
        <v>122</v>
      </c>
      <c r="E5" s="101" t="s">
        <v>93</v>
      </c>
      <c r="F5" s="103"/>
      <c r="G5" s="104"/>
    </row>
    <row r="6" spans="1:7" ht="20.25" customHeight="1" thickBot="1" x14ac:dyDescent="0.25">
      <c r="A6" s="238"/>
      <c r="B6" s="116" t="s">
        <v>123</v>
      </c>
      <c r="C6" s="238"/>
      <c r="D6" s="116"/>
      <c r="E6" s="116"/>
      <c r="F6" s="105"/>
      <c r="G6" s="106"/>
    </row>
    <row r="7" spans="1:7" ht="20.25" thickBot="1" x14ac:dyDescent="0.25">
      <c r="A7" s="216" t="s">
        <v>53</v>
      </c>
      <c r="B7" s="27"/>
      <c r="C7" s="93"/>
      <c r="D7" s="93"/>
      <c r="E7" s="93"/>
      <c r="F7" s="112"/>
      <c r="G7" s="113"/>
    </row>
    <row r="8" spans="1:7" ht="16.5" thickBot="1" x14ac:dyDescent="0.25">
      <c r="A8" s="1" t="s">
        <v>171</v>
      </c>
      <c r="B8" s="27" t="s">
        <v>172</v>
      </c>
      <c r="C8" s="93"/>
      <c r="D8" s="93"/>
      <c r="E8" s="93">
        <f>C8-D8</f>
        <v>0</v>
      </c>
      <c r="F8" s="112"/>
      <c r="G8" s="113"/>
    </row>
    <row r="9" spans="1:7" ht="16.5" thickBot="1" x14ac:dyDescent="0.25">
      <c r="A9" s="1"/>
      <c r="B9" s="27"/>
      <c r="C9" s="93"/>
      <c r="D9" s="93"/>
      <c r="E9" s="93"/>
      <c r="F9" s="112"/>
      <c r="G9" s="113"/>
    </row>
    <row r="10" spans="1:7" ht="16.5" thickBot="1" x14ac:dyDescent="0.25">
      <c r="A10" s="26" t="s">
        <v>24</v>
      </c>
      <c r="B10" s="27"/>
      <c r="C10" s="93"/>
      <c r="D10" s="93"/>
      <c r="E10" s="93"/>
      <c r="F10" s="112"/>
      <c r="G10" s="113"/>
    </row>
    <row r="11" spans="1:7" ht="16.5" thickBot="1" x14ac:dyDescent="0.25">
      <c r="A11" s="1" t="s">
        <v>173</v>
      </c>
      <c r="B11" s="27" t="s">
        <v>126</v>
      </c>
      <c r="C11" s="93"/>
      <c r="D11" s="93"/>
      <c r="E11" s="93">
        <f>C11-D11</f>
        <v>0</v>
      </c>
      <c r="F11" s="112"/>
      <c r="G11" s="113"/>
    </row>
    <row r="12" spans="1:7" ht="18" customHeight="1" thickBot="1" x14ac:dyDescent="0.25">
      <c r="A12" s="1" t="s">
        <v>127</v>
      </c>
      <c r="B12" s="27" t="s">
        <v>128</v>
      </c>
      <c r="C12" s="93"/>
      <c r="D12" s="93"/>
      <c r="E12" s="93">
        <f>C12-D12</f>
        <v>0</v>
      </c>
      <c r="F12" s="112"/>
      <c r="G12" s="113"/>
    </row>
    <row r="13" spans="1:7" ht="16.5" thickBot="1" x14ac:dyDescent="0.25">
      <c r="A13" s="1" t="s">
        <v>174</v>
      </c>
      <c r="B13" s="27" t="s">
        <v>128</v>
      </c>
      <c r="C13" s="93"/>
      <c r="D13" s="93"/>
      <c r="E13" s="93">
        <f>C13-D13</f>
        <v>0</v>
      </c>
      <c r="F13" s="117"/>
      <c r="G13" s="113"/>
    </row>
    <row r="14" spans="1:7" ht="32.25" thickBot="1" x14ac:dyDescent="0.25">
      <c r="A14" s="1" t="s">
        <v>175</v>
      </c>
      <c r="B14" s="27" t="s">
        <v>128</v>
      </c>
      <c r="C14" s="93"/>
      <c r="D14" s="93"/>
      <c r="E14" s="93"/>
      <c r="F14" s="118"/>
      <c r="G14" s="113"/>
    </row>
    <row r="15" spans="1:7" ht="14.25" customHeight="1" thickBot="1" x14ac:dyDescent="0.25">
      <c r="A15" s="1"/>
      <c r="B15" s="27"/>
      <c r="C15" s="93"/>
      <c r="D15" s="93"/>
      <c r="E15" s="93"/>
      <c r="F15" s="112"/>
      <c r="G15" s="113"/>
    </row>
    <row r="16" spans="1:7" ht="16.5" thickBot="1" x14ac:dyDescent="0.25">
      <c r="A16" s="26" t="s">
        <v>36</v>
      </c>
      <c r="B16" s="27"/>
      <c r="C16" s="93"/>
      <c r="D16" s="93"/>
      <c r="E16" s="93"/>
      <c r="F16" s="112"/>
      <c r="G16" s="113"/>
    </row>
    <row r="17" spans="1:7" ht="16.5" thickBot="1" x14ac:dyDescent="0.25">
      <c r="A17" s="1" t="s">
        <v>176</v>
      </c>
      <c r="B17" s="27" t="s">
        <v>126</v>
      </c>
      <c r="C17" s="93"/>
      <c r="D17" s="93"/>
      <c r="E17" s="93">
        <f>C17-D17</f>
        <v>0</v>
      </c>
      <c r="F17" s="112"/>
      <c r="G17" s="113"/>
    </row>
    <row r="18" spans="1:7" ht="16.5" thickBot="1" x14ac:dyDescent="0.25">
      <c r="A18" s="1" t="s">
        <v>28</v>
      </c>
      <c r="B18" s="27" t="s">
        <v>128</v>
      </c>
      <c r="C18" s="93"/>
      <c r="D18" s="93"/>
      <c r="E18" s="93">
        <f>C18-D18</f>
        <v>0</v>
      </c>
      <c r="F18" s="112"/>
      <c r="G18" s="113"/>
    </row>
    <row r="19" spans="1:7" ht="16.5" thickBot="1" x14ac:dyDescent="0.25">
      <c r="A19" s="1" t="s">
        <v>176</v>
      </c>
      <c r="B19" s="27" t="s">
        <v>126</v>
      </c>
      <c r="C19" s="93"/>
      <c r="D19" s="93"/>
      <c r="E19" s="93">
        <f>C19-D19</f>
        <v>0</v>
      </c>
      <c r="F19" s="112"/>
      <c r="G19" s="113"/>
    </row>
    <row r="20" spans="1:7" ht="32.25" thickBot="1" x14ac:dyDescent="0.25">
      <c r="A20" s="1" t="s">
        <v>41</v>
      </c>
      <c r="B20" s="27" t="s">
        <v>126</v>
      </c>
      <c r="C20" s="93"/>
      <c r="D20" s="93"/>
      <c r="E20" s="93">
        <f>C20-D20</f>
        <v>0</v>
      </c>
      <c r="F20" s="112"/>
      <c r="G20" s="113"/>
    </row>
    <row r="21" spans="1:7" ht="32.25" thickBot="1" x14ac:dyDescent="0.25">
      <c r="A21" s="1" t="s">
        <v>177</v>
      </c>
      <c r="B21" s="27" t="s">
        <v>128</v>
      </c>
      <c r="C21" s="93"/>
      <c r="D21" s="93"/>
      <c r="E21" s="93"/>
      <c r="F21" s="118"/>
      <c r="G21" s="113"/>
    </row>
    <row r="22" spans="1:7" ht="16.5" thickBot="1" x14ac:dyDescent="0.25">
      <c r="A22" s="1"/>
      <c r="B22" s="27"/>
      <c r="C22" s="93"/>
      <c r="D22" s="93"/>
      <c r="E22" s="93"/>
      <c r="F22" s="112"/>
      <c r="G22" s="113"/>
    </row>
    <row r="23" spans="1:7" ht="16.5" thickBot="1" x14ac:dyDescent="0.25">
      <c r="A23" s="26" t="s">
        <v>43</v>
      </c>
      <c r="B23" s="27"/>
      <c r="C23" s="93"/>
      <c r="D23" s="93"/>
      <c r="E23" s="93"/>
      <c r="F23" s="112"/>
      <c r="G23" s="113"/>
    </row>
    <row r="24" spans="1:7" ht="16.5" thickBot="1" x14ac:dyDescent="0.25">
      <c r="A24" s="1" t="s">
        <v>44</v>
      </c>
      <c r="B24" s="27" t="s">
        <v>128</v>
      </c>
      <c r="C24" s="93"/>
      <c r="D24" s="93"/>
      <c r="E24" s="93">
        <f t="shared" ref="E24:E30" si="0">C24-D24</f>
        <v>0</v>
      </c>
      <c r="F24" s="112"/>
      <c r="G24" s="113"/>
    </row>
    <row r="25" spans="1:7" ht="16.5" thickBot="1" x14ac:dyDescent="0.25">
      <c r="A25" s="1" t="s">
        <v>46</v>
      </c>
      <c r="B25" s="27" t="s">
        <v>128</v>
      </c>
      <c r="C25" s="93"/>
      <c r="D25" s="93"/>
      <c r="E25" s="93">
        <f t="shared" si="0"/>
        <v>0</v>
      </c>
      <c r="F25" s="112"/>
      <c r="G25" s="113"/>
    </row>
    <row r="26" spans="1:7" ht="16.5" thickBot="1" x14ac:dyDescent="0.25">
      <c r="A26" s="1" t="s">
        <v>73</v>
      </c>
      <c r="B26" s="27" t="s">
        <v>128</v>
      </c>
      <c r="C26" s="93"/>
      <c r="D26" s="93"/>
      <c r="E26" s="93">
        <f t="shared" si="0"/>
        <v>0</v>
      </c>
      <c r="F26" s="112"/>
      <c r="G26" s="113"/>
    </row>
    <row r="27" spans="1:7" ht="17.25" customHeight="1" thickBot="1" x14ac:dyDescent="0.25">
      <c r="A27" s="1" t="s">
        <v>49</v>
      </c>
      <c r="B27" s="27" t="s">
        <v>128</v>
      </c>
      <c r="C27" s="93"/>
      <c r="D27" s="93"/>
      <c r="E27" s="93">
        <f t="shared" si="0"/>
        <v>0</v>
      </c>
      <c r="F27" s="112"/>
      <c r="G27" s="113"/>
    </row>
    <row r="28" spans="1:7" ht="32.25" thickBot="1" x14ac:dyDescent="0.25">
      <c r="A28" s="1" t="s">
        <v>145</v>
      </c>
      <c r="B28" s="27" t="s">
        <v>128</v>
      </c>
      <c r="C28" s="93"/>
      <c r="D28" s="93"/>
      <c r="E28" s="93">
        <f t="shared" si="0"/>
        <v>0</v>
      </c>
      <c r="F28" s="112"/>
      <c r="G28" s="113"/>
    </row>
    <row r="29" spans="1:7" ht="16.5" thickBot="1" x14ac:dyDescent="0.25">
      <c r="A29" s="83" t="s">
        <v>51</v>
      </c>
      <c r="B29" s="27" t="s">
        <v>128</v>
      </c>
      <c r="C29" s="93"/>
      <c r="D29" s="93"/>
      <c r="E29" s="93">
        <f t="shared" si="0"/>
        <v>0</v>
      </c>
      <c r="F29" s="112"/>
      <c r="G29" s="113"/>
    </row>
    <row r="30" spans="1:7" ht="16.5" thickBot="1" x14ac:dyDescent="0.25">
      <c r="A30" s="83" t="s">
        <v>51</v>
      </c>
      <c r="B30" s="27" t="s">
        <v>126</v>
      </c>
      <c r="C30" s="93"/>
      <c r="D30" s="93"/>
      <c r="E30" s="93">
        <f t="shared" si="0"/>
        <v>0</v>
      </c>
      <c r="F30" s="119"/>
      <c r="G30" s="113"/>
    </row>
    <row r="31" spans="1:7" ht="49.5" customHeight="1" thickBot="1" x14ac:dyDescent="0.25">
      <c r="A31" s="26"/>
      <c r="B31" s="27"/>
      <c r="C31" s="93"/>
      <c r="D31" s="93"/>
      <c r="E31" s="93"/>
      <c r="F31" s="112"/>
      <c r="G31" s="113"/>
    </row>
    <row r="32" spans="1:7" ht="16.5" thickBot="1" x14ac:dyDescent="0.25">
      <c r="A32" s="26" t="s">
        <v>178</v>
      </c>
      <c r="B32" s="27"/>
      <c r="C32" s="94"/>
      <c r="D32" s="94"/>
      <c r="E32" s="94">
        <f>SUM(E8:E30)</f>
        <v>0</v>
      </c>
      <c r="F32" s="120"/>
      <c r="G32" s="121"/>
    </row>
    <row r="33" spans="1:7" ht="9" customHeight="1" thickBot="1" x14ac:dyDescent="0.25"/>
    <row r="34" spans="1:7" ht="14.25" customHeight="1" thickBot="1" x14ac:dyDescent="0.3">
      <c r="A34" s="31" t="s">
        <v>161</v>
      </c>
      <c r="B34" s="6"/>
      <c r="C34" s="6"/>
      <c r="D34" s="6"/>
      <c r="E34" s="96">
        <f>E32</f>
        <v>0</v>
      </c>
      <c r="F34" s="102" t="s">
        <v>162</v>
      </c>
      <c r="G34" s="100"/>
    </row>
    <row r="35" spans="1:7" ht="14.25" customHeight="1" thickBot="1" x14ac:dyDescent="0.3">
      <c r="A35" s="32" t="s">
        <v>163</v>
      </c>
      <c r="B35" s="32" t="s">
        <v>128</v>
      </c>
      <c r="C35" s="97"/>
      <c r="D35" s="98"/>
      <c r="E35" s="96">
        <f>E12+E13+E14+E18+E21+E24+E25+E26+E27+E28+E29</f>
        <v>0</v>
      </c>
      <c r="F35" s="102" t="s">
        <v>164</v>
      </c>
      <c r="G35" s="100"/>
    </row>
    <row r="36" spans="1:7" ht="14.25" customHeight="1" thickBot="1" x14ac:dyDescent="0.3">
      <c r="A36" s="32" t="s">
        <v>165</v>
      </c>
      <c r="B36" s="32" t="s">
        <v>126</v>
      </c>
      <c r="C36" s="97"/>
      <c r="D36" s="98"/>
      <c r="E36" s="96">
        <f>E11+E17+E19+E20+E30</f>
        <v>0</v>
      </c>
      <c r="F36" s="102" t="s">
        <v>166</v>
      </c>
      <c r="G36" s="100"/>
    </row>
    <row r="37" spans="1:7" ht="6" customHeight="1" x14ac:dyDescent="0.25">
      <c r="A37" s="6"/>
      <c r="B37" s="6"/>
      <c r="C37" s="6"/>
      <c r="D37" s="6"/>
      <c r="E37" s="6"/>
      <c r="F37" s="6"/>
      <c r="G37" s="6"/>
    </row>
    <row r="38" spans="1:7" ht="14.25" customHeight="1" x14ac:dyDescent="0.25">
      <c r="A38" s="6" t="s">
        <v>167</v>
      </c>
      <c r="B38" s="6"/>
      <c r="C38" s="6"/>
      <c r="D38" s="6"/>
      <c r="E38" s="6"/>
      <c r="F38" s="6"/>
      <c r="G38" s="6"/>
    </row>
  </sheetData>
  <mergeCells count="2">
    <mergeCell ref="A5:A6"/>
    <mergeCell ref="C5:C6"/>
  </mergeCells>
  <pageMargins left="0.38" right="0.16" top="0.6" bottom="0.67" header="0.5" footer="0.5"/>
  <pageSetup paperSize="9" scale="73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66CC199B84F74B84CFF9DD6B03D43B" ma:contentTypeVersion="10" ma:contentTypeDescription="Skapa ett nytt dokument." ma:contentTypeScope="" ma:versionID="e404ecbc1743d2fd789ffab2d7667467">
  <xsd:schema xmlns:xsd="http://www.w3.org/2001/XMLSchema" xmlns:xs="http://www.w3.org/2001/XMLSchema" xmlns:p="http://schemas.microsoft.com/office/2006/metadata/properties" xmlns:ns2="9204194f-38d7-43ad-b869-0590bbdf0fa5" targetNamespace="http://schemas.microsoft.com/office/2006/metadata/properties" ma:root="true" ma:fieldsID="662aab62d4e028be927c3b634e6224c6" ns2:_="">
    <xsd:import namespace="9204194f-38d7-43ad-b869-0590bbdf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4194f-38d7-43ad-b869-0590bbdf0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8FC038-7D07-4EE3-B5C9-0F609AE073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96A3EE-C9E7-4A22-8744-CD55D4C90F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15C6AD-DAB1-4D16-92C3-E508C6939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04194f-38d7-43ad-b869-0590bbdf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2</vt:i4>
      </vt:variant>
    </vt:vector>
  </HeadingPairs>
  <TitlesOfParts>
    <vt:vector size="7" baseType="lpstr">
      <vt:lpstr>Beskrivning av blanketter</vt:lpstr>
      <vt:lpstr>1. Specifikation av uppdraget</vt:lpstr>
      <vt:lpstr>2. Resultaträkning fördelad </vt:lpstr>
      <vt:lpstr>3a. Sammanställning bokslut</vt:lpstr>
      <vt:lpstr>3b. Sammanställning huvudman</vt:lpstr>
      <vt:lpstr>'1. Specifikation av uppdraget'!Utskriftsområde</vt:lpstr>
      <vt:lpstr>'2. Resultaträkning fördelad '!Utskriftsrubriker</vt:lpstr>
    </vt:vector>
  </TitlesOfParts>
  <Manager/>
  <Company>Landstinget i Östergötland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451n</dc:creator>
  <cp:keywords/>
  <dc:description/>
  <cp:lastModifiedBy>Ekdal Rickard RK EKONOMI</cp:lastModifiedBy>
  <cp:revision/>
  <dcterms:created xsi:type="dcterms:W3CDTF">2010-04-19T06:11:49Z</dcterms:created>
  <dcterms:modified xsi:type="dcterms:W3CDTF">2022-02-10T12:55:39Z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0x010100E666CC199B84F74B84CFF9DD6B03D43B</vt:lpwstr>
  </property>
</Properties>
</file>